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<sst xmlns="http://schemas.openxmlformats.org/spreadsheetml/2006/main" count="522" uniqueCount="222">
  <si>
    <t>ОТЧЕТ ОБ ИСПОЛНЕНИИ БЮДЖЕТА</t>
  </si>
  <si>
    <t>КОДЫ</t>
  </si>
  <si>
    <t xml:space="preserve">Форма по ОКУД </t>
  </si>
  <si>
    <t>0503117</t>
  </si>
  <si>
    <t>на 1 ноября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</si>
  <si>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</si>
  <si>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</si>
  <si>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</si>
  <si>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</si>
  <si>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</si>
  <si>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</si>
  <si>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</si>
  <si>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</si>
  <si>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</si>
  <si>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</si>
  <si>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</si>
  <si>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</si>
  <si>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</si>
  <si>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</si>
  <si>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</si>
  <si>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</si>
  <si>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</si>
  <si>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</si>
  <si>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</si>
  <si>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</si>
  <si>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</si>
  <si>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</si>
  <si>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</si>
  <si>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</si>
  <si>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</si>
  <si>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</si>
  <si>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</si>
  <si>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</si>
  <si>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</si>
  <si>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</si>
  <si>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</si>
  <si>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</si>
  <si>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</si>
  <si>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</si>
  <si>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</si>
  <si>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</si>
  <si>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</si>
  <si>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</si>
  <si>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</si>
  <si>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</si>
  <si>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</si>
  <si>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</si>
  <si>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</si>
  <si>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</si>
  <si>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</si>
  <si>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</si>
  <si>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</si>
  <si>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</si>
  <si>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</si>
  <si>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</si>
  <si>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</si>
  <si>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</si>
  <si>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</si>
  <si>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</si>
  <si>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</si>
  <si>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</si>
  <si>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</si>
  <si>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</si>
  <si>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</si>
  <si>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</si>
  <si>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</si>
  <si>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</si>
  <si>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</si>
  <si>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</si>
  <si>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</si>
  <si>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</si>
  <si>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</si>
  <si>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</si>
  <si>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</si>
  <si>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</si>
  <si>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</si>
  <si>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</si>
  <si>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</si>
  <si>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</si>
  <si>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</si>
  <si>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</si>
  <si>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</si>
  <si>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</si>
  <si>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</si>
  <si>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</si>
  <si>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</si>
  <si>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</si>
  <si>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</si>
  <si>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</si>
  <si>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</si>
  <si>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</si>
  <si>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</si>
  <si>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</si>
  <si>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</si>
  <si>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</si>
  <si>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</si>
  <si>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</si>
  <si>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</si>
  <si>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</si>
  <si>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</si>
  <si>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</si>
  <si>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</si>
  <si>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</si>
  <si>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</si>
  <si>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</si>
  <si>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</si>
  <si>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</si>
  <si>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</si>
  <si>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</si>
  <si>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</si>
  <si>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</si>
  <si>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</si>
  <si>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Работы, услуги по содержанию имущества</t>
  </si>
  <si>
    <t>650 0113 4010245 242 225</t>
  </si>
  <si>
    <t>Увеличение стоимости материальных запасов</t>
  </si>
  <si>
    <t>650 0113 4010245 242 340</t>
  </si>
  <si>
    <t>650 0113 4010245 244 222</t>
  </si>
  <si>
    <t>650 0113 4010245 244 223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</si>
  <si>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</si>
  <si>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</si>
  <si>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</si>
  <si>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</si>
  <si>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</si>
  <si>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</si>
  <si>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</si>
  <si>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</si>
  <si>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</si>
  <si>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</si>
  <si>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</si>
  <si>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</si>
  <si>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650 0309 4022124 244 225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</si>
  <si>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</si>
  <si>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</si>
  <si>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</si>
  <si>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</si>
  <si>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</si>
  <si>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</si>
  <si>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</si>
  <si>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</si>
  <si>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</si>
  <si>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</si>
  <si>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</si>
  <si>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</si>
  <si>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</si>
  <si>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</si>
  <si>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</si>
  <si>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</si>
  <si>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650 0501 4062120 244 226</t>
  </si>
  <si>
    <t>650 0501 4065431 243 225</t>
  </si>
  <si>
    <t>650 0501 4065431 244 226</t>
  </si>
  <si>
    <t>650 0502 1015430 243 225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</si>
  <si>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</si>
  <si>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</si>
  <si>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</si>
  <si>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</si>
  <si>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</si>
  <si>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</si>
  <si>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</si>
  <si>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</si>
  <si>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</si>
  <si>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</si>
  <si>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</si>
  <si>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</si>
  <si>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</si>
  <si>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</si>
  <si>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</si>
  <si>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</si>
  <si>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</si>
  <si>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</si>
  <si>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</si>
  <si>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</si>
  <si>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</si>
  <si>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</si>
  <si>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</si>
  <si>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</si>
  <si>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</si>
  <si>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</si>
  <si>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</si>
  <si>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</si>
  <si>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</si>
  <si>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</si>
  <si>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</si>
  <si>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</si>
  <si>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</si>
  <si>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</si>
  <si>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</si>
  <si>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</si>
  <si>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</si>
  <si>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</si>
  <si>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</si>
  <si>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</si>
  <si>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</si>
  <si>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</si>
  <si>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</si>
  <si>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650 1101 4125608 244 310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</si>
  <si>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</si>
  <si>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</si>
  <si>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</si>
  <si>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</si>
  <si>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</si>
  <si>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</si>
  <si>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</si>
  <si>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</si>
  <si>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</si>
  <si>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</si>
  <si>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</si>
  <si>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</si>
  <si>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</si>
  <si>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</si>
  <si>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</si>
  <si>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</si>
  <si>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</si>
  <si>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</si>
  <si>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</si>
  <si>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</si>
  <si>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</si>
  <si>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</si>
  <si>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</si>
  <si>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</si>
  <si>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</si>
  <si>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</si>
  <si>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19 ноября 2015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</si>
</sst>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164" fontId="0" fillId="0" borderId="40" xfId="0" applyNumberFormat="1" applyAlignment="1">
      <alignment/>
    </xf>
    <xf numFmtId="164" fontId="5" fillId="0" borderId="40" xfId="0" applyNumberFormat="1" applyAlignment="1">
      <alignment/>
    </xf>
    <xf numFmtId="164" fontId="6" fillId="0" borderId="40" xfId="0" applyNumberFormat="1" applyAlignment="1">
      <alignment/>
    </xf>
    <xf numFmtId="164" fontId="7" fillId="0" borderId="40" xfId="0" applyNumberFormat="1" applyAlignment="1">
      <alignment/>
    </xf>
    <xf numFmtId="164" fontId="7" fillId="0" borderId="40" xfId="0" applyNumberFormat="1" applyAlignment="1">
      <alignment wrapText="1"/>
    </xf>
    <xf numFmtId="164" fontId="7" fillId="2" borderId="40" xfId="0" applyNumberFormat="1" applyAlignment="1">
      <alignment wrapText="1"/>
    </xf>
    <xf numFmtId="164" fontId="7" fillId="3" borderId="40" xfId="0" applyNumberFormat="1" applyAlignment="1">
      <alignment wrapText="1"/>
    </xf>
    <xf numFmtId="164" fontId="7" fillId="3" borderId="40" xfId="0" applyNumberFormat="1" applyAlignment="1">
      <alignment horizontal="right" wrapText="1"/>
    </xf>
    <xf numFmtId="164" fontId="7" fillId="3" borderId="40" xfId="0" applyNumberFormat="1" applyAlignment="1">
      <alignment horizontal="right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4" t="s">
        <v>1</v>
      </c>
    </row>
    <row r="2" spans="1:21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4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1" t="s">
        <v>5</v>
      </c>
      <c r="T3" s="31"/>
      <c r="U3" s="54">
        <v>42309</v>
      </c>
    </row>
    <row r="4" spans="1:21" s="1" customFormat="1" ht="13.5" customHeight="1">
      <c r="A4" s="55" t="s">
        <v>6</v>
      </c>
      <c r="B4" s="55"/>
      <c r="C4" s="55"/>
      <c r="D4" s="64" t="s">
        <v>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1" t="s">
        <v>8</v>
      </c>
      <c r="S4" s="31"/>
      <c r="T4" s="31"/>
      <c r="U4" s="72" t="s">
        <v>10</v>
      </c>
    </row>
    <row r="5" spans="1:21" s="1" customFormat="1" ht="13.5" customHeight="1">
      <c r="A5" s="55"/>
      <c r="B5" s="55"/>
      <c r="C5" s="5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31" t="s">
        <v>9</v>
      </c>
      <c r="S5" s="31"/>
      <c r="T5" s="31"/>
      <c r="U5" s="72" t="s">
        <v>11</v>
      </c>
    </row>
    <row r="6" spans="1:21" s="1" customFormat="1" ht="13.5" customHeight="1">
      <c r="A6" s="55" t="s">
        <v>12</v>
      </c>
      <c r="B6" s="55"/>
      <c r="C6" s="55"/>
      <c r="D6" s="55"/>
      <c r="E6" s="64" t="s">
        <v>13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31" t="s">
        <v>14</v>
      </c>
      <c r="S6" s="31"/>
      <c r="T6" s="31"/>
      <c r="U6" s="72" t="s">
        <v>15</v>
      </c>
    </row>
    <row r="7" spans="1:21" s="1" customFormat="1" ht="13.5" customHeight="1">
      <c r="A7" s="79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2" t="s">
        <v>18</v>
      </c>
    </row>
    <row r="8" spans="1:21" s="1" customFormat="1" ht="13.5" customHeight="1">
      <c r="A8" s="55" t="s">
        <v>19</v>
      </c>
      <c r="B8" s="55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1" t="s">
        <v>21</v>
      </c>
      <c r="R8" s="31"/>
      <c r="S8" s="31"/>
      <c r="T8" s="31"/>
      <c r="U8" s="88" t="s">
        <v>22</v>
      </c>
    </row>
    <row r="9" spans="1:21" s="1" customFormat="1" ht="13.5" customHeight="1">
      <c r="A9" s="90" t="s">
        <v>23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1" customFormat="1" ht="34.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 t="s">
        <v>25</v>
      </c>
      <c r="J10" s="102"/>
      <c r="K10" s="102" t="s">
        <v>26</v>
      </c>
      <c r="L10" s="102"/>
      <c r="M10" s="114" t="s">
        <v>27</v>
      </c>
      <c r="N10" s="114"/>
      <c r="O10" s="114"/>
      <c r="P10" s="114" t="s">
        <v>28</v>
      </c>
      <c r="Q10" s="114"/>
      <c r="R10" s="114"/>
      <c r="S10" s="114"/>
      <c r="T10" s="125" t="s">
        <v>29</v>
      </c>
      <c r="U10" s="125"/>
    </row>
    <row r="11" spans="1:21" s="1" customFormat="1" ht="12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 t="s">
        <v>31</v>
      </c>
      <c r="J11" s="135"/>
      <c r="K11" s="135" t="s">
        <v>32</v>
      </c>
      <c r="L11" s="135"/>
      <c r="M11" s="145" t="s">
        <v>33</v>
      </c>
      <c r="N11" s="145"/>
      <c r="O11" s="145"/>
      <c r="P11" s="145" t="s">
        <v>34</v>
      </c>
      <c r="Q11" s="145"/>
      <c r="R11" s="145"/>
      <c r="S11" s="145"/>
      <c r="T11" s="155" t="s">
        <v>35</v>
      </c>
      <c r="U11" s="155"/>
    </row>
    <row r="12" spans="1:21" s="1" customFormat="1" ht="13.5" customHeight="1">
      <c r="A12" s="163" t="s">
        <v>36</v>
      </c>
      <c r="B12" s="163"/>
      <c r="C12" s="163"/>
      <c r="D12" s="163"/>
      <c r="E12" s="163"/>
      <c r="F12" s="163"/>
      <c r="G12" s="163"/>
      <c r="H12" s="163"/>
      <c r="I12" s="165" t="s">
        <v>37</v>
      </c>
      <c r="J12" s="165"/>
      <c r="K12" s="165" t="s">
        <v>38</v>
      </c>
      <c r="L12" s="165"/>
      <c r="M12" s="174">
        <f>31798246.17</f>
      </c>
      <c r="N12" s="174"/>
      <c r="O12" s="174"/>
      <c r="P12" s="174">
        <f>25605177.8</f>
      </c>
      <c r="Q12" s="174"/>
      <c r="R12" s="174"/>
      <c r="S12" s="174"/>
      <c r="T12" s="183">
        <f>6193068.37</f>
      </c>
      <c r="U12" s="183"/>
    </row>
    <row r="13" spans="1:21" s="1" customFormat="1" ht="45" customHeight="1">
      <c r="A13" s="192" t="s">
        <v>39</v>
      </c>
      <c r="B13" s="192"/>
      <c r="C13" s="192"/>
      <c r="D13" s="192"/>
      <c r="E13" s="192"/>
      <c r="F13" s="192"/>
      <c r="G13" s="192"/>
      <c r="H13" s="192"/>
      <c r="I13" s="194" t="s">
        <v>37</v>
      </c>
      <c r="J13" s="194"/>
      <c r="K13" s="194" t="s">
        <v>40</v>
      </c>
      <c r="L13" s="194"/>
      <c r="M13" s="204">
        <f>0</f>
      </c>
      <c r="N13" s="204"/>
      <c r="O13" s="204"/>
      <c r="P13" s="204">
        <f>0</f>
      </c>
      <c r="Q13" s="204"/>
      <c r="R13" s="204"/>
      <c r="S13" s="204"/>
      <c r="T13" s="214">
        <f>0</f>
      </c>
      <c r="U13" s="214"/>
    </row>
    <row r="14" spans="1:21" s="1" customFormat="1" ht="33.7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4" t="s">
        <v>37</v>
      </c>
      <c r="J14" s="194"/>
      <c r="K14" s="194" t="s">
        <v>42</v>
      </c>
      <c r="L14" s="194"/>
      <c r="M14" s="204">
        <f>0</f>
      </c>
      <c r="N14" s="204"/>
      <c r="O14" s="204"/>
      <c r="P14" s="204">
        <f>0</f>
      </c>
      <c r="Q14" s="204"/>
      <c r="R14" s="204"/>
      <c r="S14" s="204"/>
      <c r="T14" s="214">
        <f>0</f>
      </c>
      <c r="U14" s="214"/>
    </row>
    <row r="15" spans="1:21" s="1" customFormat="1" ht="4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4" t="s">
        <v>37</v>
      </c>
      <c r="J15" s="194"/>
      <c r="K15" s="194" t="s">
        <v>44</v>
      </c>
      <c r="L15" s="194"/>
      <c r="M15" s="204">
        <f>3210500</f>
      </c>
      <c r="N15" s="204"/>
      <c r="O15" s="204"/>
      <c r="P15" s="204">
        <f>2364666.85</f>
      </c>
      <c r="Q15" s="204"/>
      <c r="R15" s="204"/>
      <c r="S15" s="204"/>
      <c r="T15" s="214">
        <f>845833.15</f>
      </c>
      <c r="U15" s="214"/>
    </row>
    <row r="16" spans="1:21" s="1" customFormat="1" ht="66" customHeight="1">
      <c r="A16" s="192" t="s">
        <v>45</v>
      </c>
      <c r="B16" s="192"/>
      <c r="C16" s="192"/>
      <c r="D16" s="192"/>
      <c r="E16" s="192"/>
      <c r="F16" s="192"/>
      <c r="G16" s="192"/>
      <c r="H16" s="192"/>
      <c r="I16" s="194" t="s">
        <v>37</v>
      </c>
      <c r="J16" s="194"/>
      <c r="K16" s="194" t="s">
        <v>46</v>
      </c>
      <c r="L16" s="194"/>
      <c r="M16" s="222" t="s">
        <v>47</v>
      </c>
      <c r="N16" s="222"/>
      <c r="O16" s="222"/>
      <c r="P16" s="204">
        <f>1525.5</f>
      </c>
      <c r="Q16" s="204"/>
      <c r="R16" s="204"/>
      <c r="S16" s="204"/>
      <c r="T16" s="214">
        <f>0</f>
      </c>
      <c r="U16" s="214"/>
    </row>
    <row r="17" spans="1:21" s="1" customFormat="1" ht="24" customHeight="1">
      <c r="A17" s="192" t="s">
        <v>48</v>
      </c>
      <c r="B17" s="192"/>
      <c r="C17" s="192"/>
      <c r="D17" s="192"/>
      <c r="E17" s="192"/>
      <c r="F17" s="192"/>
      <c r="G17" s="192"/>
      <c r="H17" s="192"/>
      <c r="I17" s="194" t="s">
        <v>37</v>
      </c>
      <c r="J17" s="194"/>
      <c r="K17" s="194" t="s">
        <v>49</v>
      </c>
      <c r="L17" s="194"/>
      <c r="M17" s="222" t="s">
        <v>47</v>
      </c>
      <c r="N17" s="222"/>
      <c r="O17" s="222"/>
      <c r="P17" s="204">
        <f>100</f>
      </c>
      <c r="Q17" s="204"/>
      <c r="R17" s="204"/>
      <c r="S17" s="204"/>
      <c r="T17" s="214">
        <f>0</f>
      </c>
      <c r="U17" s="214"/>
    </row>
    <row r="18" spans="1:21" s="1" customFormat="1" ht="33.7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4" t="s">
        <v>37</v>
      </c>
      <c r="J18" s="194"/>
      <c r="K18" s="194" t="s">
        <v>51</v>
      </c>
      <c r="L18" s="194"/>
      <c r="M18" s="204">
        <f>67000</f>
      </c>
      <c r="N18" s="204"/>
      <c r="O18" s="204"/>
      <c r="P18" s="204">
        <f>71058.27</f>
      </c>
      <c r="Q18" s="204"/>
      <c r="R18" s="204"/>
      <c r="S18" s="204"/>
      <c r="T18" s="214">
        <f>-4058.27</f>
      </c>
      <c r="U18" s="214"/>
    </row>
    <row r="19" spans="1:21" s="1" customFormat="1" ht="24" customHeight="1">
      <c r="A19" s="192" t="s">
        <v>52</v>
      </c>
      <c r="B19" s="192"/>
      <c r="C19" s="192"/>
      <c r="D19" s="192"/>
      <c r="E19" s="192"/>
      <c r="F19" s="192"/>
      <c r="G19" s="192"/>
      <c r="H19" s="192"/>
      <c r="I19" s="194" t="s">
        <v>37</v>
      </c>
      <c r="J19" s="194"/>
      <c r="K19" s="194" t="s">
        <v>53</v>
      </c>
      <c r="L19" s="194"/>
      <c r="M19" s="204">
        <f>259000</f>
      </c>
      <c r="N19" s="204"/>
      <c r="O19" s="204"/>
      <c r="P19" s="204">
        <f>187240</f>
      </c>
      <c r="Q19" s="204"/>
      <c r="R19" s="204"/>
      <c r="S19" s="204"/>
      <c r="T19" s="214">
        <f>71760</f>
      </c>
      <c r="U19" s="214"/>
    </row>
    <row r="20" spans="1:21" s="1" customFormat="1" ht="24" customHeight="1">
      <c r="A20" s="192" t="s">
        <v>54</v>
      </c>
      <c r="B20" s="192"/>
      <c r="C20" s="192"/>
      <c r="D20" s="192"/>
      <c r="E20" s="192"/>
      <c r="F20" s="192"/>
      <c r="G20" s="192"/>
      <c r="H20" s="192"/>
      <c r="I20" s="194" t="s">
        <v>37</v>
      </c>
      <c r="J20" s="194"/>
      <c r="K20" s="194" t="s">
        <v>55</v>
      </c>
      <c r="L20" s="194"/>
      <c r="M20" s="204">
        <f>47000</f>
      </c>
      <c r="N20" s="204"/>
      <c r="O20" s="204"/>
      <c r="P20" s="204">
        <f>47572.87</f>
      </c>
      <c r="Q20" s="204"/>
      <c r="R20" s="204"/>
      <c r="S20" s="204"/>
      <c r="T20" s="214">
        <f>-572.87</f>
      </c>
      <c r="U20" s="214"/>
    </row>
    <row r="21" spans="1:21" s="1" customFormat="1" ht="45" customHeight="1">
      <c r="A21" s="192" t="s">
        <v>56</v>
      </c>
      <c r="B21" s="192"/>
      <c r="C21" s="192"/>
      <c r="D21" s="192"/>
      <c r="E21" s="192"/>
      <c r="F21" s="192"/>
      <c r="G21" s="192"/>
      <c r="H21" s="192"/>
      <c r="I21" s="194" t="s">
        <v>37</v>
      </c>
      <c r="J21" s="194"/>
      <c r="K21" s="194" t="s">
        <v>57</v>
      </c>
      <c r="L21" s="194"/>
      <c r="M21" s="204">
        <f>83000</f>
      </c>
      <c r="N21" s="204"/>
      <c r="O21" s="204"/>
      <c r="P21" s="204">
        <f>85350</f>
      </c>
      <c r="Q21" s="204"/>
      <c r="R21" s="204"/>
      <c r="S21" s="204"/>
      <c r="T21" s="214">
        <f>-2350</f>
      </c>
      <c r="U21" s="214"/>
    </row>
    <row r="22" spans="1:21" s="1" customFormat="1" ht="45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4" t="s">
        <v>37</v>
      </c>
      <c r="J22" s="194"/>
      <c r="K22" s="194" t="s">
        <v>59</v>
      </c>
      <c r="L22" s="194"/>
      <c r="M22" s="204">
        <f>304000</f>
      </c>
      <c r="N22" s="204"/>
      <c r="O22" s="204"/>
      <c r="P22" s="204">
        <f>254577.56</f>
      </c>
      <c r="Q22" s="204"/>
      <c r="R22" s="204"/>
      <c r="S22" s="204"/>
      <c r="T22" s="214">
        <f>49422.44</f>
      </c>
      <c r="U22" s="214"/>
    </row>
    <row r="23" spans="1:21" s="1" customFormat="1" ht="24" customHeight="1">
      <c r="A23" s="192" t="s">
        <v>60</v>
      </c>
      <c r="B23" s="192"/>
      <c r="C23" s="192"/>
      <c r="D23" s="192"/>
      <c r="E23" s="192"/>
      <c r="F23" s="192"/>
      <c r="G23" s="192"/>
      <c r="H23" s="192"/>
      <c r="I23" s="194" t="s">
        <v>37</v>
      </c>
      <c r="J23" s="194"/>
      <c r="K23" s="194" t="s">
        <v>61</v>
      </c>
      <c r="L23" s="194"/>
      <c r="M23" s="204">
        <f>70000</f>
      </c>
      <c r="N23" s="204"/>
      <c r="O23" s="204"/>
      <c r="P23" s="204">
        <f>57610</f>
      </c>
      <c r="Q23" s="204"/>
      <c r="R23" s="204"/>
      <c r="S23" s="204"/>
      <c r="T23" s="214">
        <f>12390</f>
      </c>
      <c r="U23" s="214"/>
    </row>
    <row r="24" spans="1:21" s="1" customFormat="1" ht="13.5" customHeight="1">
      <c r="A24" s="192" t="s">
        <v>62</v>
      </c>
      <c r="B24" s="192"/>
      <c r="C24" s="192"/>
      <c r="D24" s="192"/>
      <c r="E24" s="192"/>
      <c r="F24" s="192"/>
      <c r="G24" s="192"/>
      <c r="H24" s="192"/>
      <c r="I24" s="194" t="s">
        <v>37</v>
      </c>
      <c r="J24" s="194"/>
      <c r="K24" s="194" t="s">
        <v>63</v>
      </c>
      <c r="L24" s="194"/>
      <c r="M24" s="222" t="s">
        <v>47</v>
      </c>
      <c r="N24" s="222"/>
      <c r="O24" s="222"/>
      <c r="P24" s="204">
        <f>0</f>
      </c>
      <c r="Q24" s="204"/>
      <c r="R24" s="204"/>
      <c r="S24" s="204"/>
      <c r="T24" s="214">
        <f>0</f>
      </c>
      <c r="U24" s="214"/>
    </row>
    <row r="25" spans="1:21" s="1" customFormat="1" ht="24" customHeight="1">
      <c r="A25" s="192" t="s">
        <v>64</v>
      </c>
      <c r="B25" s="192"/>
      <c r="C25" s="192"/>
      <c r="D25" s="192"/>
      <c r="E25" s="192"/>
      <c r="F25" s="192"/>
      <c r="G25" s="192"/>
      <c r="H25" s="192"/>
      <c r="I25" s="194" t="s">
        <v>37</v>
      </c>
      <c r="J25" s="194"/>
      <c r="K25" s="194" t="s">
        <v>65</v>
      </c>
      <c r="L25" s="194"/>
      <c r="M25" s="204">
        <f>9284800</f>
      </c>
      <c r="N25" s="204"/>
      <c r="O25" s="204"/>
      <c r="P25" s="204">
        <f>8085286.89</f>
      </c>
      <c r="Q25" s="204"/>
      <c r="R25" s="204"/>
      <c r="S25" s="204"/>
      <c r="T25" s="214">
        <f>1199513.11</f>
      </c>
      <c r="U25" s="214"/>
    </row>
    <row r="26" spans="1:21" s="1" customFormat="1" ht="24" customHeight="1">
      <c r="A26" s="192" t="s">
        <v>66</v>
      </c>
      <c r="B26" s="192"/>
      <c r="C26" s="192"/>
      <c r="D26" s="192"/>
      <c r="E26" s="192"/>
      <c r="F26" s="192"/>
      <c r="G26" s="192"/>
      <c r="H26" s="192"/>
      <c r="I26" s="194" t="s">
        <v>37</v>
      </c>
      <c r="J26" s="194"/>
      <c r="K26" s="194" t="s">
        <v>67</v>
      </c>
      <c r="L26" s="194"/>
      <c r="M26" s="204">
        <f>12064293.53</f>
      </c>
      <c r="N26" s="204"/>
      <c r="O26" s="204"/>
      <c r="P26" s="204">
        <f>9224126.62</f>
      </c>
      <c r="Q26" s="204"/>
      <c r="R26" s="204"/>
      <c r="S26" s="204"/>
      <c r="T26" s="214">
        <f>2840166.91</f>
      </c>
      <c r="U26" s="214"/>
    </row>
    <row r="27" spans="1:21" s="1" customFormat="1" ht="24" customHeight="1">
      <c r="A27" s="192" t="s">
        <v>68</v>
      </c>
      <c r="B27" s="192"/>
      <c r="C27" s="192"/>
      <c r="D27" s="192"/>
      <c r="E27" s="192"/>
      <c r="F27" s="192"/>
      <c r="G27" s="192"/>
      <c r="H27" s="192"/>
      <c r="I27" s="194" t="s">
        <v>37</v>
      </c>
      <c r="J27" s="194"/>
      <c r="K27" s="194" t="s">
        <v>69</v>
      </c>
      <c r="L27" s="194"/>
      <c r="M27" s="204">
        <f>34000</f>
      </c>
      <c r="N27" s="204"/>
      <c r="O27" s="204"/>
      <c r="P27" s="204">
        <f>34000</f>
      </c>
      <c r="Q27" s="204"/>
      <c r="R27" s="204"/>
      <c r="S27" s="204"/>
      <c r="T27" s="214">
        <f>0</f>
      </c>
      <c r="U27" s="214"/>
    </row>
    <row r="28" spans="1:21" s="1" customFormat="1" ht="24" customHeight="1">
      <c r="A28" s="192" t="s">
        <v>70</v>
      </c>
      <c r="B28" s="192"/>
      <c r="C28" s="192"/>
      <c r="D28" s="192"/>
      <c r="E28" s="192"/>
      <c r="F28" s="192"/>
      <c r="G28" s="192"/>
      <c r="H28" s="192"/>
      <c r="I28" s="194" t="s">
        <v>37</v>
      </c>
      <c r="J28" s="194"/>
      <c r="K28" s="194" t="s">
        <v>71</v>
      </c>
      <c r="L28" s="194"/>
      <c r="M28" s="204">
        <f>356400</f>
      </c>
      <c r="N28" s="204"/>
      <c r="O28" s="204"/>
      <c r="P28" s="204">
        <f>356400</f>
      </c>
      <c r="Q28" s="204"/>
      <c r="R28" s="204"/>
      <c r="S28" s="204"/>
      <c r="T28" s="214">
        <f>0</f>
      </c>
      <c r="U28" s="214"/>
    </row>
    <row r="29" spans="1:21" s="1" customFormat="1" ht="24" customHeight="1">
      <c r="A29" s="192" t="s">
        <v>72</v>
      </c>
      <c r="B29" s="192"/>
      <c r="C29" s="192"/>
      <c r="D29" s="192"/>
      <c r="E29" s="192"/>
      <c r="F29" s="192"/>
      <c r="G29" s="192"/>
      <c r="H29" s="192"/>
      <c r="I29" s="194" t="s">
        <v>37</v>
      </c>
      <c r="J29" s="194"/>
      <c r="K29" s="194" t="s">
        <v>73</v>
      </c>
      <c r="L29" s="194"/>
      <c r="M29" s="204">
        <f>25163.23</f>
      </c>
      <c r="N29" s="204"/>
      <c r="O29" s="204"/>
      <c r="P29" s="204">
        <f>25163.23</f>
      </c>
      <c r="Q29" s="204"/>
      <c r="R29" s="204"/>
      <c r="S29" s="204"/>
      <c r="T29" s="214">
        <f>0</f>
      </c>
      <c r="U29" s="214"/>
    </row>
    <row r="30" spans="1:21" s="1" customFormat="1" ht="24" customHeight="1">
      <c r="A30" s="192" t="s">
        <v>74</v>
      </c>
      <c r="B30" s="192"/>
      <c r="C30" s="192"/>
      <c r="D30" s="192"/>
      <c r="E30" s="192"/>
      <c r="F30" s="192"/>
      <c r="G30" s="192"/>
      <c r="H30" s="192"/>
      <c r="I30" s="194" t="s">
        <v>37</v>
      </c>
      <c r="J30" s="194"/>
      <c r="K30" s="194" t="s">
        <v>75</v>
      </c>
      <c r="L30" s="194"/>
      <c r="M30" s="204">
        <f>5993089.41</f>
      </c>
      <c r="N30" s="204"/>
      <c r="O30" s="204"/>
      <c r="P30" s="204">
        <f>4810500.01</f>
      </c>
      <c r="Q30" s="204"/>
      <c r="R30" s="204"/>
      <c r="S30" s="204"/>
      <c r="T30" s="214">
        <f>1182589.4</f>
      </c>
      <c r="U30" s="214"/>
    </row>
    <row r="31" spans="1:21" s="1" customFormat="1" ht="54.75" customHeight="1">
      <c r="A31" s="192" t="s">
        <v>76</v>
      </c>
      <c r="B31" s="192"/>
      <c r="C31" s="192"/>
      <c r="D31" s="192"/>
      <c r="E31" s="192"/>
      <c r="F31" s="192"/>
      <c r="G31" s="192"/>
      <c r="H31" s="192"/>
      <c r="I31" s="194" t="s">
        <v>37</v>
      </c>
      <c r="J31" s="194"/>
      <c r="K31" s="194" t="s">
        <v>77</v>
      </c>
      <c r="L31" s="194"/>
      <c r="M31" s="222" t="s">
        <v>47</v>
      </c>
      <c r="N31" s="222"/>
      <c r="O31" s="222"/>
      <c r="P31" s="204">
        <f>0</f>
      </c>
      <c r="Q31" s="204"/>
      <c r="R31" s="204"/>
      <c r="S31" s="204"/>
      <c r="T31" s="214">
        <f>0</f>
      </c>
      <c r="U31" s="214"/>
    </row>
    <row r="32" spans="1:21" s="1" customFormat="1" ht="13.5" customHeight="1">
      <c r="A32" s="231" t="s">
        <v>18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</row>
    <row r="33" spans="1:21" s="1" customFormat="1" ht="13.5" customHeight="1">
      <c r="A33" s="90" t="s">
        <v>78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s="1" customFormat="1" ht="34.5" customHeigh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 t="s">
        <v>25</v>
      </c>
      <c r="J34" s="102"/>
      <c r="K34" s="102" t="s">
        <v>79</v>
      </c>
      <c r="L34" s="102"/>
      <c r="M34" s="114" t="s">
        <v>27</v>
      </c>
      <c r="N34" s="114"/>
      <c r="O34" s="114"/>
      <c r="P34" s="114" t="s">
        <v>28</v>
      </c>
      <c r="Q34" s="114"/>
      <c r="R34" s="114"/>
      <c r="S34" s="114"/>
      <c r="T34" s="125" t="s">
        <v>29</v>
      </c>
      <c r="U34" s="125"/>
    </row>
    <row r="35" spans="1:21" s="1" customFormat="1" ht="13.5" customHeight="1">
      <c r="A35" s="135" t="s">
        <v>30</v>
      </c>
      <c r="B35" s="135"/>
      <c r="C35" s="135"/>
      <c r="D35" s="135"/>
      <c r="E35" s="135"/>
      <c r="F35" s="135"/>
      <c r="G35" s="135"/>
      <c r="H35" s="135"/>
      <c r="I35" s="135" t="s">
        <v>31</v>
      </c>
      <c r="J35" s="135"/>
      <c r="K35" s="135" t="s">
        <v>32</v>
      </c>
      <c r="L35" s="135"/>
      <c r="M35" s="145" t="s">
        <v>33</v>
      </c>
      <c r="N35" s="145"/>
      <c r="O35" s="145"/>
      <c r="P35" s="145" t="s">
        <v>34</v>
      </c>
      <c r="Q35" s="145"/>
      <c r="R35" s="145"/>
      <c r="S35" s="145"/>
      <c r="T35" s="155" t="s">
        <v>35</v>
      </c>
      <c r="U35" s="155"/>
    </row>
    <row r="36" spans="1:21" s="1" customFormat="1" ht="13.5" customHeight="1">
      <c r="A36" s="163" t="s">
        <v>80</v>
      </c>
      <c r="B36" s="163"/>
      <c r="C36" s="163"/>
      <c r="D36" s="163"/>
      <c r="E36" s="163"/>
      <c r="F36" s="163"/>
      <c r="G36" s="163"/>
      <c r="H36" s="163"/>
      <c r="I36" s="165" t="s">
        <v>81</v>
      </c>
      <c r="J36" s="165"/>
      <c r="K36" s="165" t="s">
        <v>38</v>
      </c>
      <c r="L36" s="165"/>
      <c r="M36" s="174">
        <f>34417448.27</f>
      </c>
      <c r="N36" s="174"/>
      <c r="O36" s="174"/>
      <c r="P36" s="174">
        <f>25099778.38</f>
      </c>
      <c r="Q36" s="174"/>
      <c r="R36" s="174"/>
      <c r="S36" s="174"/>
      <c r="T36" s="183">
        <f>9317669.89</f>
      </c>
      <c r="U36" s="183"/>
    </row>
    <row r="37" spans="1:21" s="1" customFormat="1" ht="13.5" customHeight="1">
      <c r="A37" s="240" t="s">
        <v>82</v>
      </c>
      <c r="B37" s="240"/>
      <c r="C37" s="240"/>
      <c r="D37" s="240"/>
      <c r="E37" s="240"/>
      <c r="F37" s="240"/>
      <c r="G37" s="240"/>
      <c r="H37" s="240"/>
      <c r="I37" s="242" t="s">
        <v>81</v>
      </c>
      <c r="J37" s="242"/>
      <c r="K37" s="242" t="s">
        <v>83</v>
      </c>
      <c r="L37" s="242"/>
      <c r="M37" s="252">
        <f>1110000</f>
      </c>
      <c r="N37" s="252"/>
      <c r="O37" s="252"/>
      <c r="P37" s="252">
        <f>944550.43</f>
      </c>
      <c r="Q37" s="252"/>
      <c r="R37" s="252"/>
      <c r="S37" s="252"/>
      <c r="T37" s="262">
        <f>165449.57</f>
      </c>
      <c r="U37" s="262"/>
    </row>
    <row r="38" spans="1:21" s="1" customFormat="1" ht="13.5" customHeight="1">
      <c r="A38" s="240" t="s">
        <v>84</v>
      </c>
      <c r="B38" s="240"/>
      <c r="C38" s="240"/>
      <c r="D38" s="240"/>
      <c r="E38" s="240"/>
      <c r="F38" s="240"/>
      <c r="G38" s="240"/>
      <c r="H38" s="240"/>
      <c r="I38" s="242" t="s">
        <v>81</v>
      </c>
      <c r="J38" s="242"/>
      <c r="K38" s="242" t="s">
        <v>85</v>
      </c>
      <c r="L38" s="242"/>
      <c r="M38" s="252">
        <f>260000</f>
      </c>
      <c r="N38" s="252"/>
      <c r="O38" s="252"/>
      <c r="P38" s="252">
        <f>233585.3</f>
      </c>
      <c r="Q38" s="252"/>
      <c r="R38" s="252"/>
      <c r="S38" s="252"/>
      <c r="T38" s="262">
        <f>26414.7</f>
      </c>
      <c r="U38" s="262"/>
    </row>
    <row r="39" spans="1:21" s="1" customFormat="1" ht="13.5" customHeight="1">
      <c r="A39" s="240" t="s">
        <v>82</v>
      </c>
      <c r="B39" s="240"/>
      <c r="C39" s="240"/>
      <c r="D39" s="240"/>
      <c r="E39" s="240"/>
      <c r="F39" s="240"/>
      <c r="G39" s="240"/>
      <c r="H39" s="240"/>
      <c r="I39" s="242" t="s">
        <v>81</v>
      </c>
      <c r="J39" s="242"/>
      <c r="K39" s="242" t="s">
        <v>86</v>
      </c>
      <c r="L39" s="242"/>
      <c r="M39" s="252">
        <f>1720000</f>
      </c>
      <c r="N39" s="252"/>
      <c r="O39" s="252"/>
      <c r="P39" s="252">
        <f>1444408.37</f>
      </c>
      <c r="Q39" s="252"/>
      <c r="R39" s="252"/>
      <c r="S39" s="252"/>
      <c r="T39" s="262">
        <f>275591.63</f>
      </c>
      <c r="U39" s="262"/>
    </row>
    <row r="40" spans="1:21" s="1" customFormat="1" ht="13.5" customHeight="1">
      <c r="A40" s="240" t="s">
        <v>84</v>
      </c>
      <c r="B40" s="240"/>
      <c r="C40" s="240"/>
      <c r="D40" s="240"/>
      <c r="E40" s="240"/>
      <c r="F40" s="240"/>
      <c r="G40" s="240"/>
      <c r="H40" s="240"/>
      <c r="I40" s="242" t="s">
        <v>81</v>
      </c>
      <c r="J40" s="242"/>
      <c r="K40" s="242" t="s">
        <v>87</v>
      </c>
      <c r="L40" s="242"/>
      <c r="M40" s="252">
        <f>400000</f>
      </c>
      <c r="N40" s="252"/>
      <c r="O40" s="252"/>
      <c r="P40" s="252">
        <f>337896.86</f>
      </c>
      <c r="Q40" s="252"/>
      <c r="R40" s="252"/>
      <c r="S40" s="252"/>
      <c r="T40" s="262">
        <f>62103.14</f>
      </c>
      <c r="U40" s="262"/>
    </row>
    <row r="41" spans="1:21" s="1" customFormat="1" ht="13.5" customHeight="1">
      <c r="A41" s="240" t="s">
        <v>82</v>
      </c>
      <c r="B41" s="240"/>
      <c r="C41" s="240"/>
      <c r="D41" s="240"/>
      <c r="E41" s="240"/>
      <c r="F41" s="240"/>
      <c r="G41" s="240"/>
      <c r="H41" s="240"/>
      <c r="I41" s="242" t="s">
        <v>81</v>
      </c>
      <c r="J41" s="242"/>
      <c r="K41" s="242" t="s">
        <v>88</v>
      </c>
      <c r="L41" s="242"/>
      <c r="M41" s="252">
        <f>6030000</f>
      </c>
      <c r="N41" s="252"/>
      <c r="O41" s="252"/>
      <c r="P41" s="252">
        <f>4379058.04</f>
      </c>
      <c r="Q41" s="252"/>
      <c r="R41" s="252"/>
      <c r="S41" s="252"/>
      <c r="T41" s="262">
        <f>1650941.96</f>
      </c>
      <c r="U41" s="262"/>
    </row>
    <row r="42" spans="1:21" s="1" customFormat="1" ht="13.5" customHeight="1">
      <c r="A42" s="240" t="s">
        <v>84</v>
      </c>
      <c r="B42" s="240"/>
      <c r="C42" s="240"/>
      <c r="D42" s="240"/>
      <c r="E42" s="240"/>
      <c r="F42" s="240"/>
      <c r="G42" s="240"/>
      <c r="H42" s="240"/>
      <c r="I42" s="242" t="s">
        <v>81</v>
      </c>
      <c r="J42" s="242"/>
      <c r="K42" s="242" t="s">
        <v>89</v>
      </c>
      <c r="L42" s="242"/>
      <c r="M42" s="252">
        <f>1655400</f>
      </c>
      <c r="N42" s="252"/>
      <c r="O42" s="252"/>
      <c r="P42" s="252">
        <f>1115584.99</f>
      </c>
      <c r="Q42" s="252"/>
      <c r="R42" s="252"/>
      <c r="S42" s="252"/>
      <c r="T42" s="262">
        <f>539815.01</f>
      </c>
      <c r="U42" s="262"/>
    </row>
    <row r="43" spans="1:21" s="1" customFormat="1" ht="13.5" customHeight="1">
      <c r="A43" s="240" t="s">
        <v>90</v>
      </c>
      <c r="B43" s="240"/>
      <c r="C43" s="240"/>
      <c r="D43" s="240"/>
      <c r="E43" s="240"/>
      <c r="F43" s="240"/>
      <c r="G43" s="240"/>
      <c r="H43" s="240"/>
      <c r="I43" s="242" t="s">
        <v>81</v>
      </c>
      <c r="J43" s="242"/>
      <c r="K43" s="242" t="s">
        <v>91</v>
      </c>
      <c r="L43" s="242"/>
      <c r="M43" s="252">
        <f>10000</f>
      </c>
      <c r="N43" s="252"/>
      <c r="O43" s="252"/>
      <c r="P43" s="252">
        <f>7100</f>
      </c>
      <c r="Q43" s="252"/>
      <c r="R43" s="252"/>
      <c r="S43" s="252"/>
      <c r="T43" s="262">
        <f>2900</f>
      </c>
      <c r="U43" s="262"/>
    </row>
    <row r="44" spans="1:21" s="1" customFormat="1" ht="13.5" customHeight="1">
      <c r="A44" s="240" t="s">
        <v>92</v>
      </c>
      <c r="B44" s="240"/>
      <c r="C44" s="240"/>
      <c r="D44" s="240"/>
      <c r="E44" s="240"/>
      <c r="F44" s="240"/>
      <c r="G44" s="240"/>
      <c r="H44" s="240"/>
      <c r="I44" s="242" t="s">
        <v>81</v>
      </c>
      <c r="J44" s="242"/>
      <c r="K44" s="242" t="s">
        <v>93</v>
      </c>
      <c r="L44" s="242"/>
      <c r="M44" s="252">
        <f>35000</f>
      </c>
      <c r="N44" s="252"/>
      <c r="O44" s="252"/>
      <c r="P44" s="252">
        <f>34394.1</f>
      </c>
      <c r="Q44" s="252"/>
      <c r="R44" s="252"/>
      <c r="S44" s="252"/>
      <c r="T44" s="262">
        <f>605.9</f>
      </c>
      <c r="U44" s="262"/>
    </row>
    <row r="45" spans="1:21" s="1" customFormat="1" ht="13.5" customHeight="1">
      <c r="A45" s="240" t="s">
        <v>94</v>
      </c>
      <c r="B45" s="240"/>
      <c r="C45" s="240"/>
      <c r="D45" s="240"/>
      <c r="E45" s="240"/>
      <c r="F45" s="240"/>
      <c r="G45" s="240"/>
      <c r="H45" s="240"/>
      <c r="I45" s="242" t="s">
        <v>81</v>
      </c>
      <c r="J45" s="242"/>
      <c r="K45" s="242" t="s">
        <v>95</v>
      </c>
      <c r="L45" s="242"/>
      <c r="M45" s="252">
        <f>40000</f>
      </c>
      <c r="N45" s="252"/>
      <c r="O45" s="252"/>
      <c r="P45" s="252">
        <f>33096</f>
      </c>
      <c r="Q45" s="252"/>
      <c r="R45" s="252"/>
      <c r="S45" s="252"/>
      <c r="T45" s="262">
        <f>6904</f>
      </c>
      <c r="U45" s="262"/>
    </row>
    <row r="46" spans="1:21" s="1" customFormat="1" ht="13.5" customHeight="1">
      <c r="A46" s="240" t="s">
        <v>96</v>
      </c>
      <c r="B46" s="240"/>
      <c r="C46" s="240"/>
      <c r="D46" s="240"/>
      <c r="E46" s="240"/>
      <c r="F46" s="240"/>
      <c r="G46" s="240"/>
      <c r="H46" s="240"/>
      <c r="I46" s="242" t="s">
        <v>81</v>
      </c>
      <c r="J46" s="242"/>
      <c r="K46" s="242" t="s">
        <v>97</v>
      </c>
      <c r="L46" s="242"/>
      <c r="M46" s="252">
        <f>80000</f>
      </c>
      <c r="N46" s="252"/>
      <c r="O46" s="252"/>
      <c r="P46" s="252">
        <f>58875.22</f>
      </c>
      <c r="Q46" s="252"/>
      <c r="R46" s="252"/>
      <c r="S46" s="252"/>
      <c r="T46" s="262">
        <f>21124.78</f>
      </c>
      <c r="U46" s="262"/>
    </row>
    <row r="47" spans="1:21" s="1" customFormat="1" ht="13.5" customHeight="1">
      <c r="A47" s="240" t="s">
        <v>96</v>
      </c>
      <c r="B47" s="240"/>
      <c r="C47" s="240"/>
      <c r="D47" s="240"/>
      <c r="E47" s="240"/>
      <c r="F47" s="240"/>
      <c r="G47" s="240"/>
      <c r="H47" s="240"/>
      <c r="I47" s="242" t="s">
        <v>81</v>
      </c>
      <c r="J47" s="242"/>
      <c r="K47" s="242" t="s">
        <v>98</v>
      </c>
      <c r="L47" s="242"/>
      <c r="M47" s="252">
        <f>10900</f>
      </c>
      <c r="N47" s="252"/>
      <c r="O47" s="252"/>
      <c r="P47" s="252">
        <f>5487.6</f>
      </c>
      <c r="Q47" s="252"/>
      <c r="R47" s="252"/>
      <c r="S47" s="252"/>
      <c r="T47" s="262">
        <f>5412.4</f>
      </c>
      <c r="U47" s="262"/>
    </row>
    <row r="48" spans="1:21" s="1" customFormat="1" ht="13.5" customHeight="1">
      <c r="A48" s="240" t="s">
        <v>94</v>
      </c>
      <c r="B48" s="240"/>
      <c r="C48" s="240"/>
      <c r="D48" s="240"/>
      <c r="E48" s="240"/>
      <c r="F48" s="240"/>
      <c r="G48" s="240"/>
      <c r="H48" s="240"/>
      <c r="I48" s="242" t="s">
        <v>81</v>
      </c>
      <c r="J48" s="242"/>
      <c r="K48" s="242" t="s">
        <v>99</v>
      </c>
      <c r="L48" s="242"/>
      <c r="M48" s="252">
        <f>96000</f>
      </c>
      <c r="N48" s="252"/>
      <c r="O48" s="252"/>
      <c r="P48" s="252">
        <f>50063.68</f>
      </c>
      <c r="Q48" s="252"/>
      <c r="R48" s="252"/>
      <c r="S48" s="252"/>
      <c r="T48" s="262">
        <f>45936.32</f>
      </c>
      <c r="U48" s="262"/>
    </row>
    <row r="49" spans="1:21" s="1" customFormat="1" ht="13.5" customHeight="1">
      <c r="A49" s="240" t="s">
        <v>100</v>
      </c>
      <c r="B49" s="240"/>
      <c r="C49" s="240"/>
      <c r="D49" s="240"/>
      <c r="E49" s="240"/>
      <c r="F49" s="240"/>
      <c r="G49" s="240"/>
      <c r="H49" s="240"/>
      <c r="I49" s="242" t="s">
        <v>81</v>
      </c>
      <c r="J49" s="242"/>
      <c r="K49" s="242" t="s">
        <v>101</v>
      </c>
      <c r="L49" s="242"/>
      <c r="M49" s="252">
        <f>30000</f>
      </c>
      <c r="N49" s="252"/>
      <c r="O49" s="252"/>
      <c r="P49" s="252">
        <f>11700</f>
      </c>
      <c r="Q49" s="252"/>
      <c r="R49" s="252"/>
      <c r="S49" s="252"/>
      <c r="T49" s="262">
        <f>18300</f>
      </c>
      <c r="U49" s="262"/>
    </row>
    <row r="50" spans="1:21" s="1" customFormat="1" ht="13.5" customHeight="1">
      <c r="A50" s="240" t="s">
        <v>100</v>
      </c>
      <c r="B50" s="240"/>
      <c r="C50" s="240"/>
      <c r="D50" s="240"/>
      <c r="E50" s="240"/>
      <c r="F50" s="240"/>
      <c r="G50" s="240"/>
      <c r="H50" s="240"/>
      <c r="I50" s="242" t="s">
        <v>81</v>
      </c>
      <c r="J50" s="242"/>
      <c r="K50" s="242" t="s">
        <v>102</v>
      </c>
      <c r="L50" s="242"/>
      <c r="M50" s="252">
        <f>30000</f>
      </c>
      <c r="N50" s="252"/>
      <c r="O50" s="252"/>
      <c r="P50" s="252">
        <f>15000</f>
      </c>
      <c r="Q50" s="252"/>
      <c r="R50" s="252"/>
      <c r="S50" s="252"/>
      <c r="T50" s="262">
        <f>15000</f>
      </c>
      <c r="U50" s="262"/>
    </row>
    <row r="51" spans="1:21" s="1" customFormat="1" ht="13.5" customHeight="1">
      <c r="A51" s="240" t="s">
        <v>103</v>
      </c>
      <c r="B51" s="240"/>
      <c r="C51" s="240"/>
      <c r="D51" s="240"/>
      <c r="E51" s="240"/>
      <c r="F51" s="240"/>
      <c r="G51" s="240"/>
      <c r="H51" s="240"/>
      <c r="I51" s="242" t="s">
        <v>81</v>
      </c>
      <c r="J51" s="242"/>
      <c r="K51" s="242" t="s">
        <v>104</v>
      </c>
      <c r="L51" s="242"/>
      <c r="M51" s="252">
        <f>0</f>
      </c>
      <c r="N51" s="252"/>
      <c r="O51" s="252"/>
      <c r="P51" s="252">
        <f>0</f>
      </c>
      <c r="Q51" s="252"/>
      <c r="R51" s="252"/>
      <c r="S51" s="252"/>
      <c r="T51" s="262">
        <f>0</f>
      </c>
      <c r="U51" s="262"/>
    </row>
    <row r="52" spans="1:21" s="1" customFormat="1" ht="13.5" customHeight="1">
      <c r="A52" s="240" t="s">
        <v>100</v>
      </c>
      <c r="B52" s="240"/>
      <c r="C52" s="240"/>
      <c r="D52" s="240"/>
      <c r="E52" s="240"/>
      <c r="F52" s="240"/>
      <c r="G52" s="240"/>
      <c r="H52" s="240"/>
      <c r="I52" s="242" t="s">
        <v>81</v>
      </c>
      <c r="J52" s="242"/>
      <c r="K52" s="242" t="s">
        <v>105</v>
      </c>
      <c r="L52" s="242"/>
      <c r="M52" s="252">
        <f>56000</f>
      </c>
      <c r="N52" s="252"/>
      <c r="O52" s="252"/>
      <c r="P52" s="270" t="s">
        <v>47</v>
      </c>
      <c r="Q52" s="270"/>
      <c r="R52" s="270"/>
      <c r="S52" s="270"/>
      <c r="T52" s="262">
        <f>56000</f>
      </c>
      <c r="U52" s="262"/>
    </row>
    <row r="53" spans="1:21" s="1" customFormat="1" ht="13.5" customHeight="1">
      <c r="A53" s="240" t="s">
        <v>106</v>
      </c>
      <c r="B53" s="240"/>
      <c r="C53" s="240"/>
      <c r="D53" s="240"/>
      <c r="E53" s="240"/>
      <c r="F53" s="240"/>
      <c r="G53" s="240"/>
      <c r="H53" s="240"/>
      <c r="I53" s="242" t="s">
        <v>81</v>
      </c>
      <c r="J53" s="242"/>
      <c r="K53" s="242" t="s">
        <v>107</v>
      </c>
      <c r="L53" s="242"/>
      <c r="M53" s="252">
        <f>68000</f>
      </c>
      <c r="N53" s="252"/>
      <c r="O53" s="252"/>
      <c r="P53" s="270" t="s">
        <v>47</v>
      </c>
      <c r="Q53" s="270"/>
      <c r="R53" s="270"/>
      <c r="S53" s="270"/>
      <c r="T53" s="262">
        <f>68000</f>
      </c>
      <c r="U53" s="262"/>
    </row>
    <row r="54" spans="1:21" s="1" customFormat="1" ht="13.5" customHeight="1">
      <c r="A54" s="240" t="s">
        <v>94</v>
      </c>
      <c r="B54" s="240"/>
      <c r="C54" s="240"/>
      <c r="D54" s="240"/>
      <c r="E54" s="240"/>
      <c r="F54" s="240"/>
      <c r="G54" s="240"/>
      <c r="H54" s="240"/>
      <c r="I54" s="242" t="s">
        <v>81</v>
      </c>
      <c r="J54" s="242"/>
      <c r="K54" s="242" t="s">
        <v>108</v>
      </c>
      <c r="L54" s="242"/>
      <c r="M54" s="252">
        <f>326000</f>
      </c>
      <c r="N54" s="252"/>
      <c r="O54" s="252"/>
      <c r="P54" s="252">
        <f>11789.38</f>
      </c>
      <c r="Q54" s="252"/>
      <c r="R54" s="252"/>
      <c r="S54" s="252"/>
      <c r="T54" s="262">
        <f>314210.62</f>
      </c>
      <c r="U54" s="262"/>
    </row>
    <row r="55" spans="1:21" s="1" customFormat="1" ht="13.5" customHeight="1">
      <c r="A55" s="240" t="s">
        <v>100</v>
      </c>
      <c r="B55" s="240"/>
      <c r="C55" s="240"/>
      <c r="D55" s="240"/>
      <c r="E55" s="240"/>
      <c r="F55" s="240"/>
      <c r="G55" s="240"/>
      <c r="H55" s="240"/>
      <c r="I55" s="242" t="s">
        <v>81</v>
      </c>
      <c r="J55" s="242"/>
      <c r="K55" s="242" t="s">
        <v>109</v>
      </c>
      <c r="L55" s="242"/>
      <c r="M55" s="252">
        <f>22600</f>
      </c>
      <c r="N55" s="252"/>
      <c r="O55" s="252"/>
      <c r="P55" s="252">
        <f>5959</f>
      </c>
      <c r="Q55" s="252"/>
      <c r="R55" s="252"/>
      <c r="S55" s="252"/>
      <c r="T55" s="262">
        <f>16641</f>
      </c>
      <c r="U55" s="262"/>
    </row>
    <row r="56" spans="1:21" s="1" customFormat="1" ht="13.5" customHeight="1">
      <c r="A56" s="240" t="s">
        <v>100</v>
      </c>
      <c r="B56" s="240"/>
      <c r="C56" s="240"/>
      <c r="D56" s="240"/>
      <c r="E56" s="240"/>
      <c r="F56" s="240"/>
      <c r="G56" s="240"/>
      <c r="H56" s="240"/>
      <c r="I56" s="242" t="s">
        <v>81</v>
      </c>
      <c r="J56" s="242"/>
      <c r="K56" s="242" t="s">
        <v>110</v>
      </c>
      <c r="L56" s="242"/>
      <c r="M56" s="252">
        <f>56000</f>
      </c>
      <c r="N56" s="252"/>
      <c r="O56" s="252"/>
      <c r="P56" s="252">
        <f>41685</f>
      </c>
      <c r="Q56" s="252"/>
      <c r="R56" s="252"/>
      <c r="S56" s="252"/>
      <c r="T56" s="262">
        <f>14315</f>
      </c>
      <c r="U56" s="262"/>
    </row>
    <row r="57" spans="1:21" s="1" customFormat="1" ht="13.5" customHeight="1">
      <c r="A57" s="240" t="s">
        <v>90</v>
      </c>
      <c r="B57" s="240"/>
      <c r="C57" s="240"/>
      <c r="D57" s="240"/>
      <c r="E57" s="240"/>
      <c r="F57" s="240"/>
      <c r="G57" s="240"/>
      <c r="H57" s="240"/>
      <c r="I57" s="242" t="s">
        <v>81</v>
      </c>
      <c r="J57" s="242"/>
      <c r="K57" s="242" t="s">
        <v>111</v>
      </c>
      <c r="L57" s="242"/>
      <c r="M57" s="252">
        <f>298000</f>
      </c>
      <c r="N57" s="252"/>
      <c r="O57" s="252"/>
      <c r="P57" s="252">
        <f>220108.35</f>
      </c>
      <c r="Q57" s="252"/>
      <c r="R57" s="252"/>
      <c r="S57" s="252"/>
      <c r="T57" s="262">
        <f>77891.65</f>
      </c>
      <c r="U57" s="262"/>
    </row>
    <row r="58" spans="1:21" s="1" customFormat="1" ht="13.5" customHeight="1">
      <c r="A58" s="240" t="s">
        <v>112</v>
      </c>
      <c r="B58" s="240"/>
      <c r="C58" s="240"/>
      <c r="D58" s="240"/>
      <c r="E58" s="240"/>
      <c r="F58" s="240"/>
      <c r="G58" s="240"/>
      <c r="H58" s="240"/>
      <c r="I58" s="242" t="s">
        <v>81</v>
      </c>
      <c r="J58" s="242"/>
      <c r="K58" s="242" t="s">
        <v>113</v>
      </c>
      <c r="L58" s="242"/>
      <c r="M58" s="252">
        <f>23000</f>
      </c>
      <c r="N58" s="252"/>
      <c r="O58" s="252"/>
      <c r="P58" s="252">
        <f>5000</f>
      </c>
      <c r="Q58" s="252"/>
      <c r="R58" s="252"/>
      <c r="S58" s="252"/>
      <c r="T58" s="262">
        <f>18000</f>
      </c>
      <c r="U58" s="262"/>
    </row>
    <row r="59" spans="1:21" s="1" customFormat="1" ht="13.5" customHeight="1">
      <c r="A59" s="240" t="s">
        <v>114</v>
      </c>
      <c r="B59" s="240"/>
      <c r="C59" s="240"/>
      <c r="D59" s="240"/>
      <c r="E59" s="240"/>
      <c r="F59" s="240"/>
      <c r="G59" s="240"/>
      <c r="H59" s="240"/>
      <c r="I59" s="242" t="s">
        <v>81</v>
      </c>
      <c r="J59" s="242"/>
      <c r="K59" s="242" t="s">
        <v>115</v>
      </c>
      <c r="L59" s="242"/>
      <c r="M59" s="252">
        <f>17000</f>
      </c>
      <c r="N59" s="252"/>
      <c r="O59" s="252"/>
      <c r="P59" s="252">
        <f>6275</f>
      </c>
      <c r="Q59" s="252"/>
      <c r="R59" s="252"/>
      <c r="S59" s="252"/>
      <c r="T59" s="262">
        <f>10725</f>
      </c>
      <c r="U59" s="262"/>
    </row>
    <row r="60" spans="1:21" s="1" customFormat="1" ht="13.5" customHeight="1">
      <c r="A60" s="240" t="s">
        <v>92</v>
      </c>
      <c r="B60" s="240"/>
      <c r="C60" s="240"/>
      <c r="D60" s="240"/>
      <c r="E60" s="240"/>
      <c r="F60" s="240"/>
      <c r="G60" s="240"/>
      <c r="H60" s="240"/>
      <c r="I60" s="242" t="s">
        <v>81</v>
      </c>
      <c r="J60" s="242"/>
      <c r="K60" s="242" t="s">
        <v>116</v>
      </c>
      <c r="L60" s="242"/>
      <c r="M60" s="252">
        <f>1000</f>
      </c>
      <c r="N60" s="252"/>
      <c r="O60" s="252"/>
      <c r="P60" s="270" t="s">
        <v>47</v>
      </c>
      <c r="Q60" s="270"/>
      <c r="R60" s="270"/>
      <c r="S60" s="270"/>
      <c r="T60" s="262">
        <f>1000</f>
      </c>
      <c r="U60" s="262"/>
    </row>
    <row r="61" spans="1:21" s="1" customFormat="1" ht="13.5" customHeight="1">
      <c r="A61" s="240" t="s">
        <v>106</v>
      </c>
      <c r="B61" s="240"/>
      <c r="C61" s="240"/>
      <c r="D61" s="240"/>
      <c r="E61" s="240"/>
      <c r="F61" s="240"/>
      <c r="G61" s="240"/>
      <c r="H61" s="240"/>
      <c r="I61" s="242" t="s">
        <v>81</v>
      </c>
      <c r="J61" s="242"/>
      <c r="K61" s="242" t="s">
        <v>117</v>
      </c>
      <c r="L61" s="242"/>
      <c r="M61" s="252">
        <f>450000</f>
      </c>
      <c r="N61" s="252"/>
      <c r="O61" s="252"/>
      <c r="P61" s="252">
        <f>271027.2</f>
      </c>
      <c r="Q61" s="252"/>
      <c r="R61" s="252"/>
      <c r="S61" s="252"/>
      <c r="T61" s="262">
        <f>178972.8</f>
      </c>
      <c r="U61" s="262"/>
    </row>
    <row r="62" spans="1:21" s="1" customFormat="1" ht="13.5" customHeight="1">
      <c r="A62" s="240" t="s">
        <v>112</v>
      </c>
      <c r="B62" s="240"/>
      <c r="C62" s="240"/>
      <c r="D62" s="240"/>
      <c r="E62" s="240"/>
      <c r="F62" s="240"/>
      <c r="G62" s="240"/>
      <c r="H62" s="240"/>
      <c r="I62" s="242" t="s">
        <v>81</v>
      </c>
      <c r="J62" s="242"/>
      <c r="K62" s="242" t="s">
        <v>118</v>
      </c>
      <c r="L62" s="242"/>
      <c r="M62" s="252">
        <f>290000</f>
      </c>
      <c r="N62" s="252"/>
      <c r="O62" s="252"/>
      <c r="P62" s="252">
        <f>223142.09</f>
      </c>
      <c r="Q62" s="252"/>
      <c r="R62" s="252"/>
      <c r="S62" s="252"/>
      <c r="T62" s="262">
        <f>66857.91</f>
      </c>
      <c r="U62" s="262"/>
    </row>
    <row r="63" spans="1:21" s="1" customFormat="1" ht="13.5" customHeight="1">
      <c r="A63" s="240" t="s">
        <v>94</v>
      </c>
      <c r="B63" s="240"/>
      <c r="C63" s="240"/>
      <c r="D63" s="240"/>
      <c r="E63" s="240"/>
      <c r="F63" s="240"/>
      <c r="G63" s="240"/>
      <c r="H63" s="240"/>
      <c r="I63" s="242" t="s">
        <v>81</v>
      </c>
      <c r="J63" s="242"/>
      <c r="K63" s="242" t="s">
        <v>119</v>
      </c>
      <c r="L63" s="242"/>
      <c r="M63" s="252">
        <f>37000</f>
      </c>
      <c r="N63" s="252"/>
      <c r="O63" s="252"/>
      <c r="P63" s="252">
        <f>8323.12</f>
      </c>
      <c r="Q63" s="252"/>
      <c r="R63" s="252"/>
      <c r="S63" s="252"/>
      <c r="T63" s="262">
        <f>28676.88</f>
      </c>
      <c r="U63" s="262"/>
    </row>
    <row r="64" spans="1:21" s="1" customFormat="1" ht="13.5" customHeight="1">
      <c r="A64" s="240" t="s">
        <v>120</v>
      </c>
      <c r="B64" s="240"/>
      <c r="C64" s="240"/>
      <c r="D64" s="240"/>
      <c r="E64" s="240"/>
      <c r="F64" s="240"/>
      <c r="G64" s="240"/>
      <c r="H64" s="240"/>
      <c r="I64" s="242" t="s">
        <v>81</v>
      </c>
      <c r="J64" s="242"/>
      <c r="K64" s="242" t="s">
        <v>121</v>
      </c>
      <c r="L64" s="242"/>
      <c r="M64" s="252">
        <f>30000</f>
      </c>
      <c r="N64" s="252"/>
      <c r="O64" s="252"/>
      <c r="P64" s="252">
        <f>30000</f>
      </c>
      <c r="Q64" s="252"/>
      <c r="R64" s="252"/>
      <c r="S64" s="252"/>
      <c r="T64" s="262">
        <f>0</f>
      </c>
      <c r="U64" s="262"/>
    </row>
    <row r="65" spans="1:21" s="1" customFormat="1" ht="13.5" customHeight="1">
      <c r="A65" s="240" t="s">
        <v>114</v>
      </c>
      <c r="B65" s="240"/>
      <c r="C65" s="240"/>
      <c r="D65" s="240"/>
      <c r="E65" s="240"/>
      <c r="F65" s="240"/>
      <c r="G65" s="240"/>
      <c r="H65" s="240"/>
      <c r="I65" s="242" t="s">
        <v>81</v>
      </c>
      <c r="J65" s="242"/>
      <c r="K65" s="242" t="s">
        <v>122</v>
      </c>
      <c r="L65" s="242"/>
      <c r="M65" s="252">
        <f>290000</f>
      </c>
      <c r="N65" s="252"/>
      <c r="O65" s="252"/>
      <c r="P65" s="252">
        <f>202154.14</f>
      </c>
      <c r="Q65" s="252"/>
      <c r="R65" s="252"/>
      <c r="S65" s="252"/>
      <c r="T65" s="262">
        <f>87845.86</f>
      </c>
      <c r="U65" s="262"/>
    </row>
    <row r="66" spans="1:21" s="1" customFormat="1" ht="13.5" customHeight="1">
      <c r="A66" s="240" t="s">
        <v>100</v>
      </c>
      <c r="B66" s="240"/>
      <c r="C66" s="240"/>
      <c r="D66" s="240"/>
      <c r="E66" s="240"/>
      <c r="F66" s="240"/>
      <c r="G66" s="240"/>
      <c r="H66" s="240"/>
      <c r="I66" s="242" t="s">
        <v>81</v>
      </c>
      <c r="J66" s="242"/>
      <c r="K66" s="242" t="s">
        <v>123</v>
      </c>
      <c r="L66" s="242"/>
      <c r="M66" s="252">
        <f>1000</f>
      </c>
      <c r="N66" s="252"/>
      <c r="O66" s="252"/>
      <c r="P66" s="252">
        <f>720</f>
      </c>
      <c r="Q66" s="252"/>
      <c r="R66" s="252"/>
      <c r="S66" s="252"/>
      <c r="T66" s="262">
        <f>280</f>
      </c>
      <c r="U66" s="262"/>
    </row>
    <row r="67" spans="1:21" s="1" customFormat="1" ht="13.5" customHeight="1">
      <c r="A67" s="240" t="s">
        <v>103</v>
      </c>
      <c r="B67" s="240"/>
      <c r="C67" s="240"/>
      <c r="D67" s="240"/>
      <c r="E67" s="240"/>
      <c r="F67" s="240"/>
      <c r="G67" s="240"/>
      <c r="H67" s="240"/>
      <c r="I67" s="242" t="s">
        <v>81</v>
      </c>
      <c r="J67" s="242"/>
      <c r="K67" s="242" t="s">
        <v>124</v>
      </c>
      <c r="L67" s="242"/>
      <c r="M67" s="252">
        <f>28106</f>
      </c>
      <c r="N67" s="252"/>
      <c r="O67" s="252"/>
      <c r="P67" s="252">
        <f>28106</f>
      </c>
      <c r="Q67" s="252"/>
      <c r="R67" s="252"/>
      <c r="S67" s="252"/>
      <c r="T67" s="262">
        <f>0</f>
      </c>
      <c r="U67" s="262"/>
    </row>
    <row r="68" spans="1:21" s="1" customFormat="1" ht="13.5" customHeight="1">
      <c r="A68" s="240" t="s">
        <v>82</v>
      </c>
      <c r="B68" s="240"/>
      <c r="C68" s="240"/>
      <c r="D68" s="240"/>
      <c r="E68" s="240"/>
      <c r="F68" s="240"/>
      <c r="G68" s="240"/>
      <c r="H68" s="240"/>
      <c r="I68" s="242" t="s">
        <v>81</v>
      </c>
      <c r="J68" s="242"/>
      <c r="K68" s="242" t="s">
        <v>125</v>
      </c>
      <c r="L68" s="242"/>
      <c r="M68" s="252">
        <f>274000</f>
      </c>
      <c r="N68" s="252"/>
      <c r="O68" s="252"/>
      <c r="P68" s="252">
        <f>256171.02</f>
      </c>
      <c r="Q68" s="252"/>
      <c r="R68" s="252"/>
      <c r="S68" s="252"/>
      <c r="T68" s="262">
        <f>17828.98</f>
      </c>
      <c r="U68" s="262"/>
    </row>
    <row r="69" spans="1:21" s="1" customFormat="1" ht="13.5" customHeight="1">
      <c r="A69" s="240" t="s">
        <v>84</v>
      </c>
      <c r="B69" s="240"/>
      <c r="C69" s="240"/>
      <c r="D69" s="240"/>
      <c r="E69" s="240"/>
      <c r="F69" s="240"/>
      <c r="G69" s="240"/>
      <c r="H69" s="240"/>
      <c r="I69" s="242" t="s">
        <v>81</v>
      </c>
      <c r="J69" s="242"/>
      <c r="K69" s="242" t="s">
        <v>126</v>
      </c>
      <c r="L69" s="242"/>
      <c r="M69" s="252">
        <f>82400</f>
      </c>
      <c r="N69" s="252"/>
      <c r="O69" s="252"/>
      <c r="P69" s="252">
        <f>75249.66</f>
      </c>
      <c r="Q69" s="252"/>
      <c r="R69" s="252"/>
      <c r="S69" s="252"/>
      <c r="T69" s="262">
        <f>7150.34</f>
      </c>
      <c r="U69" s="262"/>
    </row>
    <row r="70" spans="1:21" s="1" customFormat="1" ht="13.5" customHeight="1">
      <c r="A70" s="240" t="s">
        <v>82</v>
      </c>
      <c r="B70" s="240"/>
      <c r="C70" s="240"/>
      <c r="D70" s="240"/>
      <c r="E70" s="240"/>
      <c r="F70" s="240"/>
      <c r="G70" s="240"/>
      <c r="H70" s="240"/>
      <c r="I70" s="242" t="s">
        <v>81</v>
      </c>
      <c r="J70" s="242"/>
      <c r="K70" s="242" t="s">
        <v>127</v>
      </c>
      <c r="L70" s="242"/>
      <c r="M70" s="252">
        <f>24600</f>
      </c>
      <c r="N70" s="252"/>
      <c r="O70" s="252"/>
      <c r="P70" s="252">
        <f>18450</f>
      </c>
      <c r="Q70" s="252"/>
      <c r="R70" s="252"/>
      <c r="S70" s="252"/>
      <c r="T70" s="262">
        <f>6150</f>
      </c>
      <c r="U70" s="262"/>
    </row>
    <row r="71" spans="1:21" s="1" customFormat="1" ht="13.5" customHeight="1">
      <c r="A71" s="240" t="s">
        <v>84</v>
      </c>
      <c r="B71" s="240"/>
      <c r="C71" s="240"/>
      <c r="D71" s="240"/>
      <c r="E71" s="240"/>
      <c r="F71" s="240"/>
      <c r="G71" s="240"/>
      <c r="H71" s="240"/>
      <c r="I71" s="242" t="s">
        <v>81</v>
      </c>
      <c r="J71" s="242"/>
      <c r="K71" s="242" t="s">
        <v>128</v>
      </c>
      <c r="L71" s="242"/>
      <c r="M71" s="252">
        <f>7400</f>
      </c>
      <c r="N71" s="252"/>
      <c r="O71" s="252"/>
      <c r="P71" s="252">
        <f>5571.9</f>
      </c>
      <c r="Q71" s="252"/>
      <c r="R71" s="252"/>
      <c r="S71" s="252"/>
      <c r="T71" s="262">
        <f>1828.1</f>
      </c>
      <c r="U71" s="262"/>
    </row>
    <row r="72" spans="1:21" s="1" customFormat="1" ht="13.5" customHeight="1">
      <c r="A72" s="240" t="s">
        <v>114</v>
      </c>
      <c r="B72" s="240"/>
      <c r="C72" s="240"/>
      <c r="D72" s="240"/>
      <c r="E72" s="240"/>
      <c r="F72" s="240"/>
      <c r="G72" s="240"/>
      <c r="H72" s="240"/>
      <c r="I72" s="242" t="s">
        <v>81</v>
      </c>
      <c r="J72" s="242"/>
      <c r="K72" s="242" t="s">
        <v>129</v>
      </c>
      <c r="L72" s="242"/>
      <c r="M72" s="252">
        <f>2000</f>
      </c>
      <c r="N72" s="252"/>
      <c r="O72" s="252"/>
      <c r="P72" s="270" t="s">
        <v>47</v>
      </c>
      <c r="Q72" s="270"/>
      <c r="R72" s="270"/>
      <c r="S72" s="270"/>
      <c r="T72" s="262">
        <f>2000</f>
      </c>
      <c r="U72" s="262"/>
    </row>
    <row r="73" spans="1:21" s="1" customFormat="1" ht="13.5" customHeight="1">
      <c r="A73" s="240" t="s">
        <v>112</v>
      </c>
      <c r="B73" s="240"/>
      <c r="C73" s="240"/>
      <c r="D73" s="240"/>
      <c r="E73" s="240"/>
      <c r="F73" s="240"/>
      <c r="G73" s="240"/>
      <c r="H73" s="240"/>
      <c r="I73" s="242" t="s">
        <v>81</v>
      </c>
      <c r="J73" s="242"/>
      <c r="K73" s="242" t="s">
        <v>130</v>
      </c>
      <c r="L73" s="242"/>
      <c r="M73" s="252">
        <f>15000</f>
      </c>
      <c r="N73" s="252"/>
      <c r="O73" s="252"/>
      <c r="P73" s="252">
        <f>15000</f>
      </c>
      <c r="Q73" s="252"/>
      <c r="R73" s="252"/>
      <c r="S73" s="252"/>
      <c r="T73" s="262">
        <f>0</f>
      </c>
      <c r="U73" s="262"/>
    </row>
    <row r="74" spans="1:21" s="1" customFormat="1" ht="13.5" customHeight="1">
      <c r="A74" s="240" t="s">
        <v>114</v>
      </c>
      <c r="B74" s="240"/>
      <c r="C74" s="240"/>
      <c r="D74" s="240"/>
      <c r="E74" s="240"/>
      <c r="F74" s="240"/>
      <c r="G74" s="240"/>
      <c r="H74" s="240"/>
      <c r="I74" s="242" t="s">
        <v>81</v>
      </c>
      <c r="J74" s="242"/>
      <c r="K74" s="242" t="s">
        <v>131</v>
      </c>
      <c r="L74" s="242"/>
      <c r="M74" s="252">
        <f>47000</f>
      </c>
      <c r="N74" s="252"/>
      <c r="O74" s="252"/>
      <c r="P74" s="252">
        <f>8650</f>
      </c>
      <c r="Q74" s="252"/>
      <c r="R74" s="252"/>
      <c r="S74" s="252"/>
      <c r="T74" s="262">
        <f>38350</f>
      </c>
      <c r="U74" s="262"/>
    </row>
    <row r="75" spans="1:21" s="1" customFormat="1" ht="13.5" customHeight="1">
      <c r="A75" s="240" t="s">
        <v>114</v>
      </c>
      <c r="B75" s="240"/>
      <c r="C75" s="240"/>
      <c r="D75" s="240"/>
      <c r="E75" s="240"/>
      <c r="F75" s="240"/>
      <c r="G75" s="240"/>
      <c r="H75" s="240"/>
      <c r="I75" s="242" t="s">
        <v>81</v>
      </c>
      <c r="J75" s="242"/>
      <c r="K75" s="242" t="s">
        <v>132</v>
      </c>
      <c r="L75" s="242"/>
      <c r="M75" s="252">
        <f>86000</f>
      </c>
      <c r="N75" s="252"/>
      <c r="O75" s="252"/>
      <c r="P75" s="252">
        <f>48200</f>
      </c>
      <c r="Q75" s="252"/>
      <c r="R75" s="252"/>
      <c r="S75" s="252"/>
      <c r="T75" s="262">
        <f>37800</f>
      </c>
      <c r="U75" s="262"/>
    </row>
    <row r="76" spans="1:21" s="1" customFormat="1" ht="13.5" customHeight="1">
      <c r="A76" s="240" t="s">
        <v>82</v>
      </c>
      <c r="B76" s="240"/>
      <c r="C76" s="240"/>
      <c r="D76" s="240"/>
      <c r="E76" s="240"/>
      <c r="F76" s="240"/>
      <c r="G76" s="240"/>
      <c r="H76" s="240"/>
      <c r="I76" s="242" t="s">
        <v>81</v>
      </c>
      <c r="J76" s="242"/>
      <c r="K76" s="242" t="s">
        <v>133</v>
      </c>
      <c r="L76" s="242"/>
      <c r="M76" s="252">
        <f>59352.96</f>
      </c>
      <c r="N76" s="252"/>
      <c r="O76" s="252"/>
      <c r="P76" s="252">
        <f>54118.24</f>
      </c>
      <c r="Q76" s="252"/>
      <c r="R76" s="252"/>
      <c r="S76" s="252"/>
      <c r="T76" s="262">
        <f>5234.72</f>
      </c>
      <c r="U76" s="262"/>
    </row>
    <row r="77" spans="1:21" s="1" customFormat="1" ht="13.5" customHeight="1">
      <c r="A77" s="240" t="s">
        <v>84</v>
      </c>
      <c r="B77" s="240"/>
      <c r="C77" s="240"/>
      <c r="D77" s="240"/>
      <c r="E77" s="240"/>
      <c r="F77" s="240"/>
      <c r="G77" s="240"/>
      <c r="H77" s="240"/>
      <c r="I77" s="242" t="s">
        <v>81</v>
      </c>
      <c r="J77" s="242"/>
      <c r="K77" s="242" t="s">
        <v>134</v>
      </c>
      <c r="L77" s="242"/>
      <c r="M77" s="252">
        <f>17957.58</f>
      </c>
      <c r="N77" s="252"/>
      <c r="O77" s="252"/>
      <c r="P77" s="252">
        <f>16343.67</f>
      </c>
      <c r="Q77" s="252"/>
      <c r="R77" s="252"/>
      <c r="S77" s="252"/>
      <c r="T77" s="262">
        <f>1613.91</f>
      </c>
      <c r="U77" s="262"/>
    </row>
    <row r="78" spans="1:21" s="1" customFormat="1" ht="13.5" customHeight="1">
      <c r="A78" s="240" t="s">
        <v>82</v>
      </c>
      <c r="B78" s="240"/>
      <c r="C78" s="240"/>
      <c r="D78" s="240"/>
      <c r="E78" s="240"/>
      <c r="F78" s="240"/>
      <c r="G78" s="240"/>
      <c r="H78" s="240"/>
      <c r="I78" s="242" t="s">
        <v>81</v>
      </c>
      <c r="J78" s="242"/>
      <c r="K78" s="242" t="s">
        <v>135</v>
      </c>
      <c r="L78" s="242"/>
      <c r="M78" s="252">
        <f>946658.27</f>
      </c>
      <c r="N78" s="252"/>
      <c r="O78" s="252"/>
      <c r="P78" s="252">
        <f>823050.96</f>
      </c>
      <c r="Q78" s="252"/>
      <c r="R78" s="252"/>
      <c r="S78" s="252"/>
      <c r="T78" s="262">
        <f>123607.31</f>
      </c>
      <c r="U78" s="262"/>
    </row>
    <row r="79" spans="1:21" s="1" customFormat="1" ht="13.5" customHeight="1">
      <c r="A79" s="240" t="s">
        <v>84</v>
      </c>
      <c r="B79" s="240"/>
      <c r="C79" s="240"/>
      <c r="D79" s="240"/>
      <c r="E79" s="240"/>
      <c r="F79" s="240"/>
      <c r="G79" s="240"/>
      <c r="H79" s="240"/>
      <c r="I79" s="242" t="s">
        <v>81</v>
      </c>
      <c r="J79" s="242"/>
      <c r="K79" s="242" t="s">
        <v>136</v>
      </c>
      <c r="L79" s="242"/>
      <c r="M79" s="252">
        <f>283986.13</f>
      </c>
      <c r="N79" s="252"/>
      <c r="O79" s="252"/>
      <c r="P79" s="252">
        <f>249374.42</f>
      </c>
      <c r="Q79" s="252"/>
      <c r="R79" s="252"/>
      <c r="S79" s="252"/>
      <c r="T79" s="262">
        <f>34611.71</f>
      </c>
      <c r="U79" s="262"/>
    </row>
    <row r="80" spans="1:21" s="1" customFormat="1" ht="13.5" customHeight="1">
      <c r="A80" s="240" t="s">
        <v>82</v>
      </c>
      <c r="B80" s="240"/>
      <c r="C80" s="240"/>
      <c r="D80" s="240"/>
      <c r="E80" s="240"/>
      <c r="F80" s="240"/>
      <c r="G80" s="240"/>
      <c r="H80" s="240"/>
      <c r="I80" s="242" t="s">
        <v>81</v>
      </c>
      <c r="J80" s="242"/>
      <c r="K80" s="242" t="s">
        <v>137</v>
      </c>
      <c r="L80" s="242"/>
      <c r="M80" s="252">
        <f>19326.6</f>
      </c>
      <c r="N80" s="252"/>
      <c r="O80" s="252"/>
      <c r="P80" s="252">
        <f>19326.6</f>
      </c>
      <c r="Q80" s="252"/>
      <c r="R80" s="252"/>
      <c r="S80" s="252"/>
      <c r="T80" s="262">
        <f>0</f>
      </c>
      <c r="U80" s="262"/>
    </row>
    <row r="81" spans="1:21" s="1" customFormat="1" ht="13.5" customHeight="1">
      <c r="A81" s="240" t="s">
        <v>84</v>
      </c>
      <c r="B81" s="240"/>
      <c r="C81" s="240"/>
      <c r="D81" s="240"/>
      <c r="E81" s="240"/>
      <c r="F81" s="240"/>
      <c r="G81" s="240"/>
      <c r="H81" s="240"/>
      <c r="I81" s="242" t="s">
        <v>81</v>
      </c>
      <c r="J81" s="242"/>
      <c r="K81" s="242" t="s">
        <v>138</v>
      </c>
      <c r="L81" s="242"/>
      <c r="M81" s="252">
        <f>5836.63</f>
      </c>
      <c r="N81" s="252"/>
      <c r="O81" s="252"/>
      <c r="P81" s="252">
        <f>5836.63</f>
      </c>
      <c r="Q81" s="252"/>
      <c r="R81" s="252"/>
      <c r="S81" s="252"/>
      <c r="T81" s="262">
        <f>0</f>
      </c>
      <c r="U81" s="262"/>
    </row>
    <row r="82" spans="1:21" s="1" customFormat="1" ht="13.5" customHeight="1">
      <c r="A82" s="240" t="s">
        <v>112</v>
      </c>
      <c r="B82" s="240"/>
      <c r="C82" s="240"/>
      <c r="D82" s="240"/>
      <c r="E82" s="240"/>
      <c r="F82" s="240"/>
      <c r="G82" s="240"/>
      <c r="H82" s="240"/>
      <c r="I82" s="242" t="s">
        <v>81</v>
      </c>
      <c r="J82" s="242"/>
      <c r="K82" s="242" t="s">
        <v>139</v>
      </c>
      <c r="L82" s="242"/>
      <c r="M82" s="252">
        <f>0</f>
      </c>
      <c r="N82" s="252"/>
      <c r="O82" s="252"/>
      <c r="P82" s="270" t="s">
        <v>47</v>
      </c>
      <c r="Q82" s="270"/>
      <c r="R82" s="270"/>
      <c r="S82" s="270"/>
      <c r="T82" s="262">
        <f>0</f>
      </c>
      <c r="U82" s="262"/>
    </row>
    <row r="83" spans="1:21" s="1" customFormat="1" ht="13.5" customHeight="1">
      <c r="A83" s="240" t="s">
        <v>112</v>
      </c>
      <c r="B83" s="240"/>
      <c r="C83" s="240"/>
      <c r="D83" s="240"/>
      <c r="E83" s="240"/>
      <c r="F83" s="240"/>
      <c r="G83" s="240"/>
      <c r="H83" s="240"/>
      <c r="I83" s="242" t="s">
        <v>81</v>
      </c>
      <c r="J83" s="242"/>
      <c r="K83" s="242" t="s">
        <v>140</v>
      </c>
      <c r="L83" s="242"/>
      <c r="M83" s="252">
        <f>1215042</f>
      </c>
      <c r="N83" s="252"/>
      <c r="O83" s="252"/>
      <c r="P83" s="252">
        <f>1215042</f>
      </c>
      <c r="Q83" s="252"/>
      <c r="R83" s="252"/>
      <c r="S83" s="252"/>
      <c r="T83" s="262">
        <f>0</f>
      </c>
      <c r="U83" s="262"/>
    </row>
    <row r="84" spans="1:21" s="1" customFormat="1" ht="13.5" customHeight="1">
      <c r="A84" s="240" t="s">
        <v>112</v>
      </c>
      <c r="B84" s="240"/>
      <c r="C84" s="240"/>
      <c r="D84" s="240"/>
      <c r="E84" s="240"/>
      <c r="F84" s="240"/>
      <c r="G84" s="240"/>
      <c r="H84" s="240"/>
      <c r="I84" s="242" t="s">
        <v>81</v>
      </c>
      <c r="J84" s="242"/>
      <c r="K84" s="242" t="s">
        <v>141</v>
      </c>
      <c r="L84" s="242"/>
      <c r="M84" s="252">
        <f>889978.47</f>
      </c>
      <c r="N84" s="252"/>
      <c r="O84" s="252"/>
      <c r="P84" s="252">
        <f>619046.37</f>
      </c>
      <c r="Q84" s="252"/>
      <c r="R84" s="252"/>
      <c r="S84" s="252"/>
      <c r="T84" s="262">
        <f>270932.1</f>
      </c>
      <c r="U84" s="262"/>
    </row>
    <row r="85" spans="1:21" s="1" customFormat="1" ht="13.5" customHeight="1">
      <c r="A85" s="240" t="s">
        <v>114</v>
      </c>
      <c r="B85" s="240"/>
      <c r="C85" s="240"/>
      <c r="D85" s="240"/>
      <c r="E85" s="240"/>
      <c r="F85" s="240"/>
      <c r="G85" s="240"/>
      <c r="H85" s="240"/>
      <c r="I85" s="242" t="s">
        <v>81</v>
      </c>
      <c r="J85" s="242"/>
      <c r="K85" s="242" t="s">
        <v>142</v>
      </c>
      <c r="L85" s="242"/>
      <c r="M85" s="252">
        <f>122158</f>
      </c>
      <c r="N85" s="252"/>
      <c r="O85" s="252"/>
      <c r="P85" s="252">
        <f>79000</f>
      </c>
      <c r="Q85" s="252"/>
      <c r="R85" s="252"/>
      <c r="S85" s="252"/>
      <c r="T85" s="262">
        <f>43158</f>
      </c>
      <c r="U85" s="262"/>
    </row>
    <row r="86" spans="1:21" s="1" customFormat="1" ht="13.5" customHeight="1">
      <c r="A86" s="240" t="s">
        <v>96</v>
      </c>
      <c r="B86" s="240"/>
      <c r="C86" s="240"/>
      <c r="D86" s="240"/>
      <c r="E86" s="240"/>
      <c r="F86" s="240"/>
      <c r="G86" s="240"/>
      <c r="H86" s="240"/>
      <c r="I86" s="242" t="s">
        <v>81</v>
      </c>
      <c r="J86" s="242"/>
      <c r="K86" s="242" t="s">
        <v>143</v>
      </c>
      <c r="L86" s="242"/>
      <c r="M86" s="252">
        <f>40000</f>
      </c>
      <c r="N86" s="252"/>
      <c r="O86" s="252"/>
      <c r="P86" s="252">
        <f>23922.58</f>
      </c>
      <c r="Q86" s="252"/>
      <c r="R86" s="252"/>
      <c r="S86" s="252"/>
      <c r="T86" s="262">
        <f>16077.42</f>
      </c>
      <c r="U86" s="262"/>
    </row>
    <row r="87" spans="1:21" s="1" customFormat="1" ht="13.5" customHeight="1">
      <c r="A87" s="240" t="s">
        <v>94</v>
      </c>
      <c r="B87" s="240"/>
      <c r="C87" s="240"/>
      <c r="D87" s="240"/>
      <c r="E87" s="240"/>
      <c r="F87" s="240"/>
      <c r="G87" s="240"/>
      <c r="H87" s="240"/>
      <c r="I87" s="242" t="s">
        <v>81</v>
      </c>
      <c r="J87" s="242"/>
      <c r="K87" s="242" t="s">
        <v>144</v>
      </c>
      <c r="L87" s="242"/>
      <c r="M87" s="252">
        <f>196000</f>
      </c>
      <c r="N87" s="252"/>
      <c r="O87" s="252"/>
      <c r="P87" s="252">
        <f>170947.5</f>
      </c>
      <c r="Q87" s="252"/>
      <c r="R87" s="252"/>
      <c r="S87" s="252"/>
      <c r="T87" s="262">
        <f>25052.5</f>
      </c>
      <c r="U87" s="262"/>
    </row>
    <row r="88" spans="1:21" s="1" customFormat="1" ht="13.5" customHeight="1">
      <c r="A88" s="240" t="s">
        <v>94</v>
      </c>
      <c r="B88" s="240"/>
      <c r="C88" s="240"/>
      <c r="D88" s="240"/>
      <c r="E88" s="240"/>
      <c r="F88" s="240"/>
      <c r="G88" s="240"/>
      <c r="H88" s="240"/>
      <c r="I88" s="242" t="s">
        <v>81</v>
      </c>
      <c r="J88" s="242"/>
      <c r="K88" s="242" t="s">
        <v>145</v>
      </c>
      <c r="L88" s="242"/>
      <c r="M88" s="252">
        <f>126000</f>
      </c>
      <c r="N88" s="252"/>
      <c r="O88" s="252"/>
      <c r="P88" s="252">
        <f>72393.6</f>
      </c>
      <c r="Q88" s="252"/>
      <c r="R88" s="252"/>
      <c r="S88" s="252"/>
      <c r="T88" s="262">
        <f>53606.4</f>
      </c>
      <c r="U88" s="262"/>
    </row>
    <row r="89" spans="1:21" s="1" customFormat="1" ht="13.5" customHeight="1">
      <c r="A89" s="240" t="s">
        <v>112</v>
      </c>
      <c r="B89" s="240"/>
      <c r="C89" s="240"/>
      <c r="D89" s="240"/>
      <c r="E89" s="240"/>
      <c r="F89" s="240"/>
      <c r="G89" s="240"/>
      <c r="H89" s="240"/>
      <c r="I89" s="242" t="s">
        <v>81</v>
      </c>
      <c r="J89" s="242"/>
      <c r="K89" s="242" t="s">
        <v>146</v>
      </c>
      <c r="L89" s="242"/>
      <c r="M89" s="252">
        <f>231000</f>
      </c>
      <c r="N89" s="252"/>
      <c r="O89" s="252"/>
      <c r="P89" s="252">
        <f>210993.38</f>
      </c>
      <c r="Q89" s="252"/>
      <c r="R89" s="252"/>
      <c r="S89" s="252"/>
      <c r="T89" s="262">
        <f>20006.62</f>
      </c>
      <c r="U89" s="262"/>
    </row>
    <row r="90" spans="1:21" s="1" customFormat="1" ht="13.5" customHeight="1">
      <c r="A90" s="240" t="s">
        <v>94</v>
      </c>
      <c r="B90" s="240"/>
      <c r="C90" s="240"/>
      <c r="D90" s="240"/>
      <c r="E90" s="240"/>
      <c r="F90" s="240"/>
      <c r="G90" s="240"/>
      <c r="H90" s="240"/>
      <c r="I90" s="242" t="s">
        <v>81</v>
      </c>
      <c r="J90" s="242"/>
      <c r="K90" s="242" t="s">
        <v>147</v>
      </c>
      <c r="L90" s="242"/>
      <c r="M90" s="252">
        <f>15000</f>
      </c>
      <c r="N90" s="252"/>
      <c r="O90" s="252"/>
      <c r="P90" s="252">
        <f>14317.1</f>
      </c>
      <c r="Q90" s="252"/>
      <c r="R90" s="252"/>
      <c r="S90" s="252"/>
      <c r="T90" s="262">
        <f>682.9</f>
      </c>
      <c r="U90" s="262"/>
    </row>
    <row r="91" spans="1:21" s="1" customFormat="1" ht="13.5" customHeight="1">
      <c r="A91" s="240" t="s">
        <v>112</v>
      </c>
      <c r="B91" s="240"/>
      <c r="C91" s="240"/>
      <c r="D91" s="240"/>
      <c r="E91" s="240"/>
      <c r="F91" s="240"/>
      <c r="G91" s="240"/>
      <c r="H91" s="240"/>
      <c r="I91" s="242" t="s">
        <v>81</v>
      </c>
      <c r="J91" s="242"/>
      <c r="K91" s="242" t="s">
        <v>148</v>
      </c>
      <c r="L91" s="242"/>
      <c r="M91" s="252">
        <f>2078000</f>
      </c>
      <c r="N91" s="252"/>
      <c r="O91" s="252"/>
      <c r="P91" s="252">
        <f>2038380.6</f>
      </c>
      <c r="Q91" s="252"/>
      <c r="R91" s="252"/>
      <c r="S91" s="252"/>
      <c r="T91" s="262">
        <f>39619.4</f>
      </c>
      <c r="U91" s="262"/>
    </row>
    <row r="92" spans="1:21" s="1" customFormat="1" ht="13.5" customHeight="1">
      <c r="A92" s="240" t="s">
        <v>94</v>
      </c>
      <c r="B92" s="240"/>
      <c r="C92" s="240"/>
      <c r="D92" s="240"/>
      <c r="E92" s="240"/>
      <c r="F92" s="240"/>
      <c r="G92" s="240"/>
      <c r="H92" s="240"/>
      <c r="I92" s="242" t="s">
        <v>81</v>
      </c>
      <c r="J92" s="242"/>
      <c r="K92" s="242" t="s">
        <v>149</v>
      </c>
      <c r="L92" s="242"/>
      <c r="M92" s="252">
        <f>60000</f>
      </c>
      <c r="N92" s="252"/>
      <c r="O92" s="252"/>
      <c r="P92" s="252">
        <f>60000</f>
      </c>
      <c r="Q92" s="252"/>
      <c r="R92" s="252"/>
      <c r="S92" s="252"/>
      <c r="T92" s="262">
        <f>0</f>
      </c>
      <c r="U92" s="262"/>
    </row>
    <row r="93" spans="1:21" s="1" customFormat="1" ht="13.5" customHeight="1">
      <c r="A93" s="240" t="s">
        <v>112</v>
      </c>
      <c r="B93" s="240"/>
      <c r="C93" s="240"/>
      <c r="D93" s="240"/>
      <c r="E93" s="240"/>
      <c r="F93" s="240"/>
      <c r="G93" s="240"/>
      <c r="H93" s="240"/>
      <c r="I93" s="242" t="s">
        <v>81</v>
      </c>
      <c r="J93" s="242"/>
      <c r="K93" s="242" t="s">
        <v>150</v>
      </c>
      <c r="L93" s="242"/>
      <c r="M93" s="252">
        <f>1052631</f>
      </c>
      <c r="N93" s="252"/>
      <c r="O93" s="252"/>
      <c r="P93" s="270" t="s">
        <v>47</v>
      </c>
      <c r="Q93" s="270"/>
      <c r="R93" s="270"/>
      <c r="S93" s="270"/>
      <c r="T93" s="262">
        <f>1052631</f>
      </c>
      <c r="U93" s="262"/>
    </row>
    <row r="94" spans="1:21" s="1" customFormat="1" ht="13.5" customHeight="1">
      <c r="A94" s="240" t="s">
        <v>112</v>
      </c>
      <c r="B94" s="240"/>
      <c r="C94" s="240"/>
      <c r="D94" s="240"/>
      <c r="E94" s="240"/>
      <c r="F94" s="240"/>
      <c r="G94" s="240"/>
      <c r="H94" s="240"/>
      <c r="I94" s="242" t="s">
        <v>81</v>
      </c>
      <c r="J94" s="242"/>
      <c r="K94" s="242" t="s">
        <v>151</v>
      </c>
      <c r="L94" s="242"/>
      <c r="M94" s="252">
        <f>163000</f>
      </c>
      <c r="N94" s="252"/>
      <c r="O94" s="252"/>
      <c r="P94" s="252">
        <f>162646.93</f>
      </c>
      <c r="Q94" s="252"/>
      <c r="R94" s="252"/>
      <c r="S94" s="252"/>
      <c r="T94" s="262">
        <f>353.07</f>
      </c>
      <c r="U94" s="262"/>
    </row>
    <row r="95" spans="1:21" s="1" customFormat="1" ht="13.5" customHeight="1">
      <c r="A95" s="240" t="s">
        <v>112</v>
      </c>
      <c r="B95" s="240"/>
      <c r="C95" s="240"/>
      <c r="D95" s="240"/>
      <c r="E95" s="240"/>
      <c r="F95" s="240"/>
      <c r="G95" s="240"/>
      <c r="H95" s="240"/>
      <c r="I95" s="242" t="s">
        <v>81</v>
      </c>
      <c r="J95" s="242"/>
      <c r="K95" s="242" t="s">
        <v>152</v>
      </c>
      <c r="L95" s="242"/>
      <c r="M95" s="252">
        <f>0</f>
      </c>
      <c r="N95" s="252"/>
      <c r="O95" s="252"/>
      <c r="P95" s="270" t="s">
        <v>47</v>
      </c>
      <c r="Q95" s="270"/>
      <c r="R95" s="270"/>
      <c r="S95" s="270"/>
      <c r="T95" s="262">
        <f>0</f>
      </c>
      <c r="U95" s="262"/>
    </row>
    <row r="96" spans="1:21" s="1" customFormat="1" ht="13.5" customHeight="1">
      <c r="A96" s="240" t="s">
        <v>120</v>
      </c>
      <c r="B96" s="240"/>
      <c r="C96" s="240"/>
      <c r="D96" s="240"/>
      <c r="E96" s="240"/>
      <c r="F96" s="240"/>
      <c r="G96" s="240"/>
      <c r="H96" s="240"/>
      <c r="I96" s="242" t="s">
        <v>81</v>
      </c>
      <c r="J96" s="242"/>
      <c r="K96" s="242" t="s">
        <v>153</v>
      </c>
      <c r="L96" s="242"/>
      <c r="M96" s="252">
        <f>428169</f>
      </c>
      <c r="N96" s="252"/>
      <c r="O96" s="252"/>
      <c r="P96" s="252">
        <f>428153.42</f>
      </c>
      <c r="Q96" s="252"/>
      <c r="R96" s="252"/>
      <c r="S96" s="252"/>
      <c r="T96" s="262">
        <f>15.58</f>
      </c>
      <c r="U96" s="262"/>
    </row>
    <row r="97" spans="1:21" s="1" customFormat="1" ht="13.5" customHeight="1">
      <c r="A97" s="240" t="s">
        <v>106</v>
      </c>
      <c r="B97" s="240"/>
      <c r="C97" s="240"/>
      <c r="D97" s="240"/>
      <c r="E97" s="240"/>
      <c r="F97" s="240"/>
      <c r="G97" s="240"/>
      <c r="H97" s="240"/>
      <c r="I97" s="242" t="s">
        <v>81</v>
      </c>
      <c r="J97" s="242"/>
      <c r="K97" s="242" t="s">
        <v>154</v>
      </c>
      <c r="L97" s="242"/>
      <c r="M97" s="252">
        <f>880000</f>
      </c>
      <c r="N97" s="252"/>
      <c r="O97" s="252"/>
      <c r="P97" s="252">
        <f>469114.46</f>
      </c>
      <c r="Q97" s="252"/>
      <c r="R97" s="252"/>
      <c r="S97" s="252"/>
      <c r="T97" s="262">
        <f>410885.54</f>
      </c>
      <c r="U97" s="262"/>
    </row>
    <row r="98" spans="1:21" s="1" customFormat="1" ht="13.5" customHeight="1">
      <c r="A98" s="240" t="s">
        <v>112</v>
      </c>
      <c r="B98" s="240"/>
      <c r="C98" s="240"/>
      <c r="D98" s="240"/>
      <c r="E98" s="240"/>
      <c r="F98" s="240"/>
      <c r="G98" s="240"/>
      <c r="H98" s="240"/>
      <c r="I98" s="242" t="s">
        <v>81</v>
      </c>
      <c r="J98" s="242"/>
      <c r="K98" s="242" t="s">
        <v>155</v>
      </c>
      <c r="L98" s="242"/>
      <c r="M98" s="252">
        <f>242200</f>
      </c>
      <c r="N98" s="252"/>
      <c r="O98" s="252"/>
      <c r="P98" s="252">
        <f>166102.76</f>
      </c>
      <c r="Q98" s="252"/>
      <c r="R98" s="252"/>
      <c r="S98" s="252"/>
      <c r="T98" s="262">
        <f>76097.24</f>
      </c>
      <c r="U98" s="262"/>
    </row>
    <row r="99" spans="1:21" s="1" customFormat="1" ht="13.5" customHeight="1">
      <c r="A99" s="240" t="s">
        <v>94</v>
      </c>
      <c r="B99" s="240"/>
      <c r="C99" s="240"/>
      <c r="D99" s="240"/>
      <c r="E99" s="240"/>
      <c r="F99" s="240"/>
      <c r="G99" s="240"/>
      <c r="H99" s="240"/>
      <c r="I99" s="242" t="s">
        <v>81</v>
      </c>
      <c r="J99" s="242"/>
      <c r="K99" s="242" t="s">
        <v>156</v>
      </c>
      <c r="L99" s="242"/>
      <c r="M99" s="252">
        <f>797045.63</f>
      </c>
      <c r="N99" s="252"/>
      <c r="O99" s="252"/>
      <c r="P99" s="252">
        <f>196899</f>
      </c>
      <c r="Q99" s="252"/>
      <c r="R99" s="252"/>
      <c r="S99" s="252"/>
      <c r="T99" s="262">
        <f>600146.63</f>
      </c>
      <c r="U99" s="262"/>
    </row>
    <row r="100" spans="1:21" s="1" customFormat="1" ht="13.5" customHeight="1">
      <c r="A100" s="240" t="s">
        <v>120</v>
      </c>
      <c r="B100" s="240"/>
      <c r="C100" s="240"/>
      <c r="D100" s="240"/>
      <c r="E100" s="240"/>
      <c r="F100" s="240"/>
      <c r="G100" s="240"/>
      <c r="H100" s="240"/>
      <c r="I100" s="242" t="s">
        <v>81</v>
      </c>
      <c r="J100" s="242"/>
      <c r="K100" s="242" t="s">
        <v>157</v>
      </c>
      <c r="L100" s="242"/>
      <c r="M100" s="252">
        <f>66500</f>
      </c>
      <c r="N100" s="252"/>
      <c r="O100" s="252"/>
      <c r="P100" s="252">
        <f>66480</f>
      </c>
      <c r="Q100" s="252"/>
      <c r="R100" s="252"/>
      <c r="S100" s="252"/>
      <c r="T100" s="262">
        <f>20</f>
      </c>
      <c r="U100" s="262"/>
    </row>
    <row r="101" spans="1:21" s="1" customFormat="1" ht="13.5" customHeight="1">
      <c r="A101" s="240" t="s">
        <v>114</v>
      </c>
      <c r="B101" s="240"/>
      <c r="C101" s="240"/>
      <c r="D101" s="240"/>
      <c r="E101" s="240"/>
      <c r="F101" s="240"/>
      <c r="G101" s="240"/>
      <c r="H101" s="240"/>
      <c r="I101" s="242" t="s">
        <v>81</v>
      </c>
      <c r="J101" s="242"/>
      <c r="K101" s="242" t="s">
        <v>158</v>
      </c>
      <c r="L101" s="242"/>
      <c r="M101" s="252">
        <f>180000</f>
      </c>
      <c r="N101" s="252"/>
      <c r="O101" s="252"/>
      <c r="P101" s="252">
        <f>169926.97</f>
      </c>
      <c r="Q101" s="252"/>
      <c r="R101" s="252"/>
      <c r="S101" s="252"/>
      <c r="T101" s="262">
        <f>10073.03</f>
      </c>
      <c r="U101" s="262"/>
    </row>
    <row r="102" spans="1:21" s="1" customFormat="1" ht="13.5" customHeight="1">
      <c r="A102" s="240" t="s">
        <v>96</v>
      </c>
      <c r="B102" s="240"/>
      <c r="C102" s="240"/>
      <c r="D102" s="240"/>
      <c r="E102" s="240"/>
      <c r="F102" s="240"/>
      <c r="G102" s="240"/>
      <c r="H102" s="240"/>
      <c r="I102" s="242" t="s">
        <v>81</v>
      </c>
      <c r="J102" s="242"/>
      <c r="K102" s="242" t="s">
        <v>159</v>
      </c>
      <c r="L102" s="242"/>
      <c r="M102" s="252">
        <f>43765</f>
      </c>
      <c r="N102" s="252"/>
      <c r="O102" s="252"/>
      <c r="P102" s="252">
        <f>3066.82</f>
      </c>
      <c r="Q102" s="252"/>
      <c r="R102" s="252"/>
      <c r="S102" s="252"/>
      <c r="T102" s="262">
        <f>40698.18</f>
      </c>
      <c r="U102" s="262"/>
    </row>
    <row r="103" spans="1:21" s="1" customFormat="1" ht="13.5" customHeight="1">
      <c r="A103" s="240" t="s">
        <v>82</v>
      </c>
      <c r="B103" s="240"/>
      <c r="C103" s="240"/>
      <c r="D103" s="240"/>
      <c r="E103" s="240"/>
      <c r="F103" s="240"/>
      <c r="G103" s="240"/>
      <c r="H103" s="240"/>
      <c r="I103" s="242" t="s">
        <v>81</v>
      </c>
      <c r="J103" s="242"/>
      <c r="K103" s="242" t="s">
        <v>160</v>
      </c>
      <c r="L103" s="242"/>
      <c r="M103" s="252">
        <f>2695400</f>
      </c>
      <c r="N103" s="252"/>
      <c r="O103" s="252"/>
      <c r="P103" s="252">
        <f>2275830.23</f>
      </c>
      <c r="Q103" s="252"/>
      <c r="R103" s="252"/>
      <c r="S103" s="252"/>
      <c r="T103" s="262">
        <f>419569.77</f>
      </c>
      <c r="U103" s="262"/>
    </row>
    <row r="104" spans="1:21" s="1" customFormat="1" ht="13.5" customHeight="1">
      <c r="A104" s="240" t="s">
        <v>84</v>
      </c>
      <c r="B104" s="240"/>
      <c r="C104" s="240"/>
      <c r="D104" s="240"/>
      <c r="E104" s="240"/>
      <c r="F104" s="240"/>
      <c r="G104" s="240"/>
      <c r="H104" s="240"/>
      <c r="I104" s="242" t="s">
        <v>81</v>
      </c>
      <c r="J104" s="242"/>
      <c r="K104" s="242" t="s">
        <v>161</v>
      </c>
      <c r="L104" s="242"/>
      <c r="M104" s="252">
        <f>817000</f>
      </c>
      <c r="N104" s="252"/>
      <c r="O104" s="252"/>
      <c r="P104" s="252">
        <f>609008.39</f>
      </c>
      <c r="Q104" s="252"/>
      <c r="R104" s="252"/>
      <c r="S104" s="252"/>
      <c r="T104" s="262">
        <f>207991.61</f>
      </c>
      <c r="U104" s="262"/>
    </row>
    <row r="105" spans="1:21" s="1" customFormat="1" ht="13.5" customHeight="1">
      <c r="A105" s="240" t="s">
        <v>90</v>
      </c>
      <c r="B105" s="240"/>
      <c r="C105" s="240"/>
      <c r="D105" s="240"/>
      <c r="E105" s="240"/>
      <c r="F105" s="240"/>
      <c r="G105" s="240"/>
      <c r="H105" s="240"/>
      <c r="I105" s="242" t="s">
        <v>81</v>
      </c>
      <c r="J105" s="242"/>
      <c r="K105" s="242" t="s">
        <v>162</v>
      </c>
      <c r="L105" s="242"/>
      <c r="M105" s="252">
        <f>110500</f>
      </c>
      <c r="N105" s="252"/>
      <c r="O105" s="252"/>
      <c r="P105" s="252">
        <f>110428.79</f>
      </c>
      <c r="Q105" s="252"/>
      <c r="R105" s="252"/>
      <c r="S105" s="252"/>
      <c r="T105" s="262">
        <f>71.21</f>
      </c>
      <c r="U105" s="262"/>
    </row>
    <row r="106" spans="1:21" s="1" customFormat="1" ht="13.5" customHeight="1">
      <c r="A106" s="240" t="s">
        <v>92</v>
      </c>
      <c r="B106" s="240"/>
      <c r="C106" s="240"/>
      <c r="D106" s="240"/>
      <c r="E106" s="240"/>
      <c r="F106" s="240"/>
      <c r="G106" s="240"/>
      <c r="H106" s="240"/>
      <c r="I106" s="242" t="s">
        <v>81</v>
      </c>
      <c r="J106" s="242"/>
      <c r="K106" s="242" t="s">
        <v>163</v>
      </c>
      <c r="L106" s="242"/>
      <c r="M106" s="252">
        <f>20500</f>
      </c>
      <c r="N106" s="252"/>
      <c r="O106" s="252"/>
      <c r="P106" s="252">
        <f>18428.9</f>
      </c>
      <c r="Q106" s="252"/>
      <c r="R106" s="252"/>
      <c r="S106" s="252"/>
      <c r="T106" s="262">
        <f>2071.1</f>
      </c>
      <c r="U106" s="262"/>
    </row>
    <row r="107" spans="1:21" s="1" customFormat="1" ht="13.5" customHeight="1">
      <c r="A107" s="240" t="s">
        <v>96</v>
      </c>
      <c r="B107" s="240"/>
      <c r="C107" s="240"/>
      <c r="D107" s="240"/>
      <c r="E107" s="240"/>
      <c r="F107" s="240"/>
      <c r="G107" s="240"/>
      <c r="H107" s="240"/>
      <c r="I107" s="242" t="s">
        <v>81</v>
      </c>
      <c r="J107" s="242"/>
      <c r="K107" s="242" t="s">
        <v>164</v>
      </c>
      <c r="L107" s="242"/>
      <c r="M107" s="252">
        <f>47500</f>
      </c>
      <c r="N107" s="252"/>
      <c r="O107" s="252"/>
      <c r="P107" s="252">
        <f>45073.75</f>
      </c>
      <c r="Q107" s="252"/>
      <c r="R107" s="252"/>
      <c r="S107" s="252"/>
      <c r="T107" s="262">
        <f>2426.25</f>
      </c>
      <c r="U107" s="262"/>
    </row>
    <row r="108" spans="1:21" s="1" customFormat="1" ht="13.5" customHeight="1">
      <c r="A108" s="240" t="s">
        <v>112</v>
      </c>
      <c r="B108" s="240"/>
      <c r="C108" s="240"/>
      <c r="D108" s="240"/>
      <c r="E108" s="240"/>
      <c r="F108" s="240"/>
      <c r="G108" s="240"/>
      <c r="H108" s="240"/>
      <c r="I108" s="242" t="s">
        <v>81</v>
      </c>
      <c r="J108" s="242"/>
      <c r="K108" s="242" t="s">
        <v>165</v>
      </c>
      <c r="L108" s="242"/>
      <c r="M108" s="252">
        <f>4435</f>
      </c>
      <c r="N108" s="252"/>
      <c r="O108" s="252"/>
      <c r="P108" s="252">
        <f>1800</f>
      </c>
      <c r="Q108" s="252"/>
      <c r="R108" s="252"/>
      <c r="S108" s="252"/>
      <c r="T108" s="262">
        <f>2635</f>
      </c>
      <c r="U108" s="262"/>
    </row>
    <row r="109" spans="1:21" s="1" customFormat="1" ht="13.5" customHeight="1">
      <c r="A109" s="240" t="s">
        <v>94</v>
      </c>
      <c r="B109" s="240"/>
      <c r="C109" s="240"/>
      <c r="D109" s="240"/>
      <c r="E109" s="240"/>
      <c r="F109" s="240"/>
      <c r="G109" s="240"/>
      <c r="H109" s="240"/>
      <c r="I109" s="242" t="s">
        <v>81</v>
      </c>
      <c r="J109" s="242"/>
      <c r="K109" s="242" t="s">
        <v>166</v>
      </c>
      <c r="L109" s="242"/>
      <c r="M109" s="252">
        <f>72000</f>
      </c>
      <c r="N109" s="252"/>
      <c r="O109" s="252"/>
      <c r="P109" s="252">
        <f>56794</f>
      </c>
      <c r="Q109" s="252"/>
      <c r="R109" s="252"/>
      <c r="S109" s="252"/>
      <c r="T109" s="262">
        <f>15206</f>
      </c>
      <c r="U109" s="262"/>
    </row>
    <row r="110" spans="1:21" s="1" customFormat="1" ht="13.5" customHeight="1">
      <c r="A110" s="240" t="s">
        <v>114</v>
      </c>
      <c r="B110" s="240"/>
      <c r="C110" s="240"/>
      <c r="D110" s="240"/>
      <c r="E110" s="240"/>
      <c r="F110" s="240"/>
      <c r="G110" s="240"/>
      <c r="H110" s="240"/>
      <c r="I110" s="242" t="s">
        <v>81</v>
      </c>
      <c r="J110" s="242"/>
      <c r="K110" s="242" t="s">
        <v>167</v>
      </c>
      <c r="L110" s="242"/>
      <c r="M110" s="252">
        <f>9000</f>
      </c>
      <c r="N110" s="252"/>
      <c r="O110" s="252"/>
      <c r="P110" s="252">
        <f>8731</f>
      </c>
      <c r="Q110" s="252"/>
      <c r="R110" s="252"/>
      <c r="S110" s="252"/>
      <c r="T110" s="262">
        <f>269</f>
      </c>
      <c r="U110" s="262"/>
    </row>
    <row r="111" spans="1:21" s="1" customFormat="1" ht="13.5" customHeight="1">
      <c r="A111" s="240" t="s">
        <v>112</v>
      </c>
      <c r="B111" s="240"/>
      <c r="C111" s="240"/>
      <c r="D111" s="240"/>
      <c r="E111" s="240"/>
      <c r="F111" s="240"/>
      <c r="G111" s="240"/>
      <c r="H111" s="240"/>
      <c r="I111" s="242" t="s">
        <v>81</v>
      </c>
      <c r="J111" s="242"/>
      <c r="K111" s="242" t="s">
        <v>168</v>
      </c>
      <c r="L111" s="242"/>
      <c r="M111" s="252">
        <f>1085610</f>
      </c>
      <c r="N111" s="252"/>
      <c r="O111" s="252"/>
      <c r="P111" s="252">
        <f>1085079.07</f>
      </c>
      <c r="Q111" s="252"/>
      <c r="R111" s="252"/>
      <c r="S111" s="252"/>
      <c r="T111" s="262">
        <f>530.93</f>
      </c>
      <c r="U111" s="262"/>
    </row>
    <row r="112" spans="1:21" s="1" customFormat="1" ht="13.5" customHeight="1">
      <c r="A112" s="240" t="s">
        <v>96</v>
      </c>
      <c r="B112" s="240"/>
      <c r="C112" s="240"/>
      <c r="D112" s="240"/>
      <c r="E112" s="240"/>
      <c r="F112" s="240"/>
      <c r="G112" s="240"/>
      <c r="H112" s="240"/>
      <c r="I112" s="242" t="s">
        <v>81</v>
      </c>
      <c r="J112" s="242"/>
      <c r="K112" s="242" t="s">
        <v>169</v>
      </c>
      <c r="L112" s="242"/>
      <c r="M112" s="252">
        <f>2000</f>
      </c>
      <c r="N112" s="252"/>
      <c r="O112" s="252"/>
      <c r="P112" s="252">
        <f>406.85</f>
      </c>
      <c r="Q112" s="252"/>
      <c r="R112" s="252"/>
      <c r="S112" s="252"/>
      <c r="T112" s="262">
        <f>1593.15</f>
      </c>
      <c r="U112" s="262"/>
    </row>
    <row r="113" spans="1:21" s="1" customFormat="1" ht="13.5" customHeight="1">
      <c r="A113" s="240" t="s">
        <v>106</v>
      </c>
      <c r="B113" s="240"/>
      <c r="C113" s="240"/>
      <c r="D113" s="240"/>
      <c r="E113" s="240"/>
      <c r="F113" s="240"/>
      <c r="G113" s="240"/>
      <c r="H113" s="240"/>
      <c r="I113" s="242" t="s">
        <v>81</v>
      </c>
      <c r="J113" s="242"/>
      <c r="K113" s="242" t="s">
        <v>170</v>
      </c>
      <c r="L113" s="242"/>
      <c r="M113" s="252">
        <f>894200</f>
      </c>
      <c r="N113" s="252"/>
      <c r="O113" s="252"/>
      <c r="P113" s="252">
        <f>568209.74</f>
      </c>
      <c r="Q113" s="252"/>
      <c r="R113" s="252"/>
      <c r="S113" s="252"/>
      <c r="T113" s="262">
        <f>325990.26</f>
      </c>
      <c r="U113" s="262"/>
    </row>
    <row r="114" spans="1:21" s="1" customFormat="1" ht="13.5" customHeight="1">
      <c r="A114" s="240" t="s">
        <v>112</v>
      </c>
      <c r="B114" s="240"/>
      <c r="C114" s="240"/>
      <c r="D114" s="240"/>
      <c r="E114" s="240"/>
      <c r="F114" s="240"/>
      <c r="G114" s="240"/>
      <c r="H114" s="240"/>
      <c r="I114" s="242" t="s">
        <v>81</v>
      </c>
      <c r="J114" s="242"/>
      <c r="K114" s="242" t="s">
        <v>171</v>
      </c>
      <c r="L114" s="242"/>
      <c r="M114" s="252">
        <f>276900</f>
      </c>
      <c r="N114" s="252"/>
      <c r="O114" s="252"/>
      <c r="P114" s="252">
        <f>219865.48</f>
      </c>
      <c r="Q114" s="252"/>
      <c r="R114" s="252"/>
      <c r="S114" s="252"/>
      <c r="T114" s="262">
        <f>57034.52</f>
      </c>
      <c r="U114" s="262"/>
    </row>
    <row r="115" spans="1:21" s="1" customFormat="1" ht="13.5" customHeight="1">
      <c r="A115" s="240" t="s">
        <v>94</v>
      </c>
      <c r="B115" s="240"/>
      <c r="C115" s="240"/>
      <c r="D115" s="240"/>
      <c r="E115" s="240"/>
      <c r="F115" s="240"/>
      <c r="G115" s="240"/>
      <c r="H115" s="240"/>
      <c r="I115" s="242" t="s">
        <v>81</v>
      </c>
      <c r="J115" s="242"/>
      <c r="K115" s="242" t="s">
        <v>172</v>
      </c>
      <c r="L115" s="242"/>
      <c r="M115" s="252">
        <f>82000</f>
      </c>
      <c r="N115" s="252"/>
      <c r="O115" s="252"/>
      <c r="P115" s="252">
        <f>37082.19</f>
      </c>
      <c r="Q115" s="252"/>
      <c r="R115" s="252"/>
      <c r="S115" s="252"/>
      <c r="T115" s="262">
        <f>44917.81</f>
      </c>
      <c r="U115" s="262"/>
    </row>
    <row r="116" spans="1:21" s="1" customFormat="1" ht="13.5" customHeight="1">
      <c r="A116" s="240" t="s">
        <v>100</v>
      </c>
      <c r="B116" s="240"/>
      <c r="C116" s="240"/>
      <c r="D116" s="240"/>
      <c r="E116" s="240"/>
      <c r="F116" s="240"/>
      <c r="G116" s="240"/>
      <c r="H116" s="240"/>
      <c r="I116" s="242" t="s">
        <v>81</v>
      </c>
      <c r="J116" s="242"/>
      <c r="K116" s="242" t="s">
        <v>173</v>
      </c>
      <c r="L116" s="242"/>
      <c r="M116" s="252">
        <f>28600</f>
      </c>
      <c r="N116" s="252"/>
      <c r="O116" s="252"/>
      <c r="P116" s="252">
        <f>28556.55</f>
      </c>
      <c r="Q116" s="252"/>
      <c r="R116" s="252"/>
      <c r="S116" s="252"/>
      <c r="T116" s="262">
        <f>43.45</f>
      </c>
      <c r="U116" s="262"/>
    </row>
    <row r="117" spans="1:21" s="1" customFormat="1" ht="13.5" customHeight="1">
      <c r="A117" s="240" t="s">
        <v>120</v>
      </c>
      <c r="B117" s="240"/>
      <c r="C117" s="240"/>
      <c r="D117" s="240"/>
      <c r="E117" s="240"/>
      <c r="F117" s="240"/>
      <c r="G117" s="240"/>
      <c r="H117" s="240"/>
      <c r="I117" s="242" t="s">
        <v>81</v>
      </c>
      <c r="J117" s="242"/>
      <c r="K117" s="242" t="s">
        <v>174</v>
      </c>
      <c r="L117" s="242"/>
      <c r="M117" s="252">
        <f>15000</f>
      </c>
      <c r="N117" s="252"/>
      <c r="O117" s="252"/>
      <c r="P117" s="252">
        <f>14530</f>
      </c>
      <c r="Q117" s="252"/>
      <c r="R117" s="252"/>
      <c r="S117" s="252"/>
      <c r="T117" s="262">
        <f>470</f>
      </c>
      <c r="U117" s="262"/>
    </row>
    <row r="118" spans="1:21" s="1" customFormat="1" ht="13.5" customHeight="1">
      <c r="A118" s="240" t="s">
        <v>114</v>
      </c>
      <c r="B118" s="240"/>
      <c r="C118" s="240"/>
      <c r="D118" s="240"/>
      <c r="E118" s="240"/>
      <c r="F118" s="240"/>
      <c r="G118" s="240"/>
      <c r="H118" s="240"/>
      <c r="I118" s="242" t="s">
        <v>81</v>
      </c>
      <c r="J118" s="242"/>
      <c r="K118" s="242" t="s">
        <v>175</v>
      </c>
      <c r="L118" s="242"/>
      <c r="M118" s="252">
        <f>456790</f>
      </c>
      <c r="N118" s="252"/>
      <c r="O118" s="252"/>
      <c r="P118" s="252">
        <f>453076.93</f>
      </c>
      <c r="Q118" s="252"/>
      <c r="R118" s="252"/>
      <c r="S118" s="252"/>
      <c r="T118" s="262">
        <f>3713.07</f>
      </c>
      <c r="U118" s="262"/>
    </row>
    <row r="119" spans="1:21" s="1" customFormat="1" ht="13.5" customHeight="1">
      <c r="A119" s="240" t="s">
        <v>100</v>
      </c>
      <c r="B119" s="240"/>
      <c r="C119" s="240"/>
      <c r="D119" s="240"/>
      <c r="E119" s="240"/>
      <c r="F119" s="240"/>
      <c r="G119" s="240"/>
      <c r="H119" s="240"/>
      <c r="I119" s="242" t="s">
        <v>81</v>
      </c>
      <c r="J119" s="242"/>
      <c r="K119" s="242" t="s">
        <v>176</v>
      </c>
      <c r="L119" s="242"/>
      <c r="M119" s="252">
        <f>60000</f>
      </c>
      <c r="N119" s="252"/>
      <c r="O119" s="252"/>
      <c r="P119" s="252">
        <f>32390</f>
      </c>
      <c r="Q119" s="252"/>
      <c r="R119" s="252"/>
      <c r="S119" s="252"/>
      <c r="T119" s="262">
        <f>27610</f>
      </c>
      <c r="U119" s="262"/>
    </row>
    <row r="120" spans="1:21" s="1" customFormat="1" ht="13.5" customHeight="1">
      <c r="A120" s="240" t="s">
        <v>94</v>
      </c>
      <c r="B120" s="240"/>
      <c r="C120" s="240"/>
      <c r="D120" s="240"/>
      <c r="E120" s="240"/>
      <c r="F120" s="240"/>
      <c r="G120" s="240"/>
      <c r="H120" s="240"/>
      <c r="I120" s="242" t="s">
        <v>81</v>
      </c>
      <c r="J120" s="242"/>
      <c r="K120" s="242" t="s">
        <v>177</v>
      </c>
      <c r="L120" s="242"/>
      <c r="M120" s="252">
        <f>115000</f>
      </c>
      <c r="N120" s="252"/>
      <c r="O120" s="252"/>
      <c r="P120" s="252">
        <f>89583</f>
      </c>
      <c r="Q120" s="252"/>
      <c r="R120" s="252"/>
      <c r="S120" s="252"/>
      <c r="T120" s="262">
        <f>25417</f>
      </c>
      <c r="U120" s="262"/>
    </row>
    <row r="121" spans="1:21" s="1" customFormat="1" ht="13.5" customHeight="1">
      <c r="A121" s="240" t="s">
        <v>100</v>
      </c>
      <c r="B121" s="240"/>
      <c r="C121" s="240"/>
      <c r="D121" s="240"/>
      <c r="E121" s="240"/>
      <c r="F121" s="240"/>
      <c r="G121" s="240"/>
      <c r="H121" s="240"/>
      <c r="I121" s="242" t="s">
        <v>81</v>
      </c>
      <c r="J121" s="242"/>
      <c r="K121" s="242" t="s">
        <v>178</v>
      </c>
      <c r="L121" s="242"/>
      <c r="M121" s="252">
        <f>62200</f>
      </c>
      <c r="N121" s="252"/>
      <c r="O121" s="252"/>
      <c r="P121" s="252">
        <f>31500</f>
      </c>
      <c r="Q121" s="252"/>
      <c r="R121" s="252"/>
      <c r="S121" s="252"/>
      <c r="T121" s="262">
        <f>30700</f>
      </c>
      <c r="U121" s="262"/>
    </row>
    <row r="122" spans="1:21" s="1" customFormat="1" ht="13.5" customHeight="1">
      <c r="A122" s="240" t="s">
        <v>114</v>
      </c>
      <c r="B122" s="240"/>
      <c r="C122" s="240"/>
      <c r="D122" s="240"/>
      <c r="E122" s="240"/>
      <c r="F122" s="240"/>
      <c r="G122" s="240"/>
      <c r="H122" s="240"/>
      <c r="I122" s="242" t="s">
        <v>81</v>
      </c>
      <c r="J122" s="242"/>
      <c r="K122" s="242" t="s">
        <v>179</v>
      </c>
      <c r="L122" s="242"/>
      <c r="M122" s="252">
        <f>70500</f>
      </c>
      <c r="N122" s="252"/>
      <c r="O122" s="252"/>
      <c r="P122" s="252">
        <f>29189.8</f>
      </c>
      <c r="Q122" s="252"/>
      <c r="R122" s="252"/>
      <c r="S122" s="252"/>
      <c r="T122" s="262">
        <f>41310.2</f>
      </c>
      <c r="U122" s="262"/>
    </row>
    <row r="123" spans="1:21" s="1" customFormat="1" ht="13.5" customHeight="1">
      <c r="A123" s="240" t="s">
        <v>82</v>
      </c>
      <c r="B123" s="240"/>
      <c r="C123" s="240"/>
      <c r="D123" s="240"/>
      <c r="E123" s="240"/>
      <c r="F123" s="240"/>
      <c r="G123" s="240"/>
      <c r="H123" s="240"/>
      <c r="I123" s="242" t="s">
        <v>81</v>
      </c>
      <c r="J123" s="242"/>
      <c r="K123" s="242" t="s">
        <v>180</v>
      </c>
      <c r="L123" s="242"/>
      <c r="M123" s="252">
        <f>746600</f>
      </c>
      <c r="N123" s="252"/>
      <c r="O123" s="252"/>
      <c r="P123" s="252">
        <f>533987.43</f>
      </c>
      <c r="Q123" s="252"/>
      <c r="R123" s="252"/>
      <c r="S123" s="252"/>
      <c r="T123" s="262">
        <f>212612.57</f>
      </c>
      <c r="U123" s="262"/>
    </row>
    <row r="124" spans="1:21" s="1" customFormat="1" ht="13.5" customHeight="1">
      <c r="A124" s="240" t="s">
        <v>84</v>
      </c>
      <c r="B124" s="240"/>
      <c r="C124" s="240"/>
      <c r="D124" s="240"/>
      <c r="E124" s="240"/>
      <c r="F124" s="240"/>
      <c r="G124" s="240"/>
      <c r="H124" s="240"/>
      <c r="I124" s="242" t="s">
        <v>81</v>
      </c>
      <c r="J124" s="242"/>
      <c r="K124" s="242" t="s">
        <v>181</v>
      </c>
      <c r="L124" s="242"/>
      <c r="M124" s="252">
        <f>223000</f>
      </c>
      <c r="N124" s="252"/>
      <c r="O124" s="252"/>
      <c r="P124" s="252">
        <f>177212.57</f>
      </c>
      <c r="Q124" s="252"/>
      <c r="R124" s="252"/>
      <c r="S124" s="252"/>
      <c r="T124" s="262">
        <f>45787.43</f>
      </c>
      <c r="U124" s="262"/>
    </row>
    <row r="125" spans="1:21" s="1" customFormat="1" ht="13.5" customHeight="1">
      <c r="A125" s="240" t="s">
        <v>94</v>
      </c>
      <c r="B125" s="240"/>
      <c r="C125" s="240"/>
      <c r="D125" s="240"/>
      <c r="E125" s="240"/>
      <c r="F125" s="240"/>
      <c r="G125" s="240"/>
      <c r="H125" s="240"/>
      <c r="I125" s="242" t="s">
        <v>81</v>
      </c>
      <c r="J125" s="242"/>
      <c r="K125" s="242" t="s">
        <v>182</v>
      </c>
      <c r="L125" s="242"/>
      <c r="M125" s="252">
        <f>217500</f>
      </c>
      <c r="N125" s="252"/>
      <c r="O125" s="252"/>
      <c r="P125" s="252">
        <f>98694.94</f>
      </c>
      <c r="Q125" s="252"/>
      <c r="R125" s="252"/>
      <c r="S125" s="252"/>
      <c r="T125" s="262">
        <f>118805.06</f>
      </c>
      <c r="U125" s="262"/>
    </row>
    <row r="126" spans="1:21" s="1" customFormat="1" ht="13.5" customHeight="1">
      <c r="A126" s="240" t="s">
        <v>120</v>
      </c>
      <c r="B126" s="240"/>
      <c r="C126" s="240"/>
      <c r="D126" s="240"/>
      <c r="E126" s="240"/>
      <c r="F126" s="240"/>
      <c r="G126" s="240"/>
      <c r="H126" s="240"/>
      <c r="I126" s="242" t="s">
        <v>81</v>
      </c>
      <c r="J126" s="242"/>
      <c r="K126" s="242" t="s">
        <v>183</v>
      </c>
      <c r="L126" s="242"/>
      <c r="M126" s="252">
        <f>0</f>
      </c>
      <c r="N126" s="252"/>
      <c r="O126" s="252"/>
      <c r="P126" s="270" t="s">
        <v>47</v>
      </c>
      <c r="Q126" s="270"/>
      <c r="R126" s="270"/>
      <c r="S126" s="270"/>
      <c r="T126" s="262">
        <f>0</f>
      </c>
      <c r="U126" s="262"/>
    </row>
    <row r="127" spans="1:21" s="1" customFormat="1" ht="13.5" customHeight="1">
      <c r="A127" s="240" t="s">
        <v>114</v>
      </c>
      <c r="B127" s="240"/>
      <c r="C127" s="240"/>
      <c r="D127" s="240"/>
      <c r="E127" s="240"/>
      <c r="F127" s="240"/>
      <c r="G127" s="240"/>
      <c r="H127" s="240"/>
      <c r="I127" s="242" t="s">
        <v>81</v>
      </c>
      <c r="J127" s="242"/>
      <c r="K127" s="242" t="s">
        <v>184</v>
      </c>
      <c r="L127" s="242"/>
      <c r="M127" s="252">
        <f>15000</f>
      </c>
      <c r="N127" s="252"/>
      <c r="O127" s="252"/>
      <c r="P127" s="252">
        <f>15000</f>
      </c>
      <c r="Q127" s="252"/>
      <c r="R127" s="252"/>
      <c r="S127" s="252"/>
      <c r="T127" s="262">
        <f>0</f>
      </c>
      <c r="U127" s="262"/>
    </row>
    <row r="128" spans="1:21" s="1" customFormat="1" ht="13.5" customHeight="1">
      <c r="A128" s="240" t="s">
        <v>82</v>
      </c>
      <c r="B128" s="240"/>
      <c r="C128" s="240"/>
      <c r="D128" s="240"/>
      <c r="E128" s="240"/>
      <c r="F128" s="240"/>
      <c r="G128" s="240"/>
      <c r="H128" s="240"/>
      <c r="I128" s="242" t="s">
        <v>81</v>
      </c>
      <c r="J128" s="242"/>
      <c r="K128" s="242" t="s">
        <v>185</v>
      </c>
      <c r="L128" s="242"/>
      <c r="M128" s="252">
        <f>1014000</f>
      </c>
      <c r="N128" s="252"/>
      <c r="O128" s="252"/>
      <c r="P128" s="252">
        <f>790626.47</f>
      </c>
      <c r="Q128" s="252"/>
      <c r="R128" s="252"/>
      <c r="S128" s="252"/>
      <c r="T128" s="262">
        <f>223373.53</f>
      </c>
      <c r="U128" s="262"/>
    </row>
    <row r="129" spans="1:21" s="1" customFormat="1" ht="13.5" customHeight="1">
      <c r="A129" s="240" t="s">
        <v>84</v>
      </c>
      <c r="B129" s="240"/>
      <c r="C129" s="240"/>
      <c r="D129" s="240"/>
      <c r="E129" s="240"/>
      <c r="F129" s="240"/>
      <c r="G129" s="240"/>
      <c r="H129" s="240"/>
      <c r="I129" s="242" t="s">
        <v>81</v>
      </c>
      <c r="J129" s="242"/>
      <c r="K129" s="242" t="s">
        <v>186</v>
      </c>
      <c r="L129" s="242"/>
      <c r="M129" s="252">
        <f>303000</f>
      </c>
      <c r="N129" s="252"/>
      <c r="O129" s="252"/>
      <c r="P129" s="252">
        <f>207868.88</f>
      </c>
      <c r="Q129" s="252"/>
      <c r="R129" s="252"/>
      <c r="S129" s="252"/>
      <c r="T129" s="262">
        <f>95131.12</f>
      </c>
      <c r="U129" s="262"/>
    </row>
    <row r="130" spans="1:21" s="1" customFormat="1" ht="13.5" customHeight="1">
      <c r="A130" s="240" t="s">
        <v>90</v>
      </c>
      <c r="B130" s="240"/>
      <c r="C130" s="240"/>
      <c r="D130" s="240"/>
      <c r="E130" s="240"/>
      <c r="F130" s="240"/>
      <c r="G130" s="240"/>
      <c r="H130" s="240"/>
      <c r="I130" s="242" t="s">
        <v>81</v>
      </c>
      <c r="J130" s="242"/>
      <c r="K130" s="242" t="s">
        <v>187</v>
      </c>
      <c r="L130" s="242"/>
      <c r="M130" s="252">
        <f>41000</f>
      </c>
      <c r="N130" s="252"/>
      <c r="O130" s="252"/>
      <c r="P130" s="252">
        <f>40870.4</f>
      </c>
      <c r="Q130" s="252"/>
      <c r="R130" s="252"/>
      <c r="S130" s="252"/>
      <c r="T130" s="262">
        <f>129.6</f>
      </c>
      <c r="U130" s="262"/>
    </row>
    <row r="131" spans="1:21" s="1" customFormat="1" ht="13.5" customHeight="1">
      <c r="A131" s="240" t="s">
        <v>92</v>
      </c>
      <c r="B131" s="240"/>
      <c r="C131" s="240"/>
      <c r="D131" s="240"/>
      <c r="E131" s="240"/>
      <c r="F131" s="240"/>
      <c r="G131" s="240"/>
      <c r="H131" s="240"/>
      <c r="I131" s="242" t="s">
        <v>81</v>
      </c>
      <c r="J131" s="242"/>
      <c r="K131" s="242" t="s">
        <v>188</v>
      </c>
      <c r="L131" s="242"/>
      <c r="M131" s="252">
        <f>3000</f>
      </c>
      <c r="N131" s="252"/>
      <c r="O131" s="252"/>
      <c r="P131" s="252">
        <f>2957.8</f>
      </c>
      <c r="Q131" s="252"/>
      <c r="R131" s="252"/>
      <c r="S131" s="252"/>
      <c r="T131" s="262">
        <f>42.2</f>
      </c>
      <c r="U131" s="262"/>
    </row>
    <row r="132" spans="1:21" s="1" customFormat="1" ht="13.5" customHeight="1">
      <c r="A132" s="240" t="s">
        <v>94</v>
      </c>
      <c r="B132" s="240"/>
      <c r="C132" s="240"/>
      <c r="D132" s="240"/>
      <c r="E132" s="240"/>
      <c r="F132" s="240"/>
      <c r="G132" s="240"/>
      <c r="H132" s="240"/>
      <c r="I132" s="242" t="s">
        <v>81</v>
      </c>
      <c r="J132" s="242"/>
      <c r="K132" s="242" t="s">
        <v>189</v>
      </c>
      <c r="L132" s="242"/>
      <c r="M132" s="252">
        <f>0</f>
      </c>
      <c r="N132" s="252"/>
      <c r="O132" s="252"/>
      <c r="P132" s="270" t="s">
        <v>47</v>
      </c>
      <c r="Q132" s="270"/>
      <c r="R132" s="270"/>
      <c r="S132" s="270"/>
      <c r="T132" s="262">
        <f>0</f>
      </c>
      <c r="U132" s="262"/>
    </row>
    <row r="133" spans="1:21" s="1" customFormat="1" ht="13.5" customHeight="1">
      <c r="A133" s="240" t="s">
        <v>112</v>
      </c>
      <c r="B133" s="240"/>
      <c r="C133" s="240"/>
      <c r="D133" s="240"/>
      <c r="E133" s="240"/>
      <c r="F133" s="240"/>
      <c r="G133" s="240"/>
      <c r="H133" s="240"/>
      <c r="I133" s="242" t="s">
        <v>81</v>
      </c>
      <c r="J133" s="242"/>
      <c r="K133" s="242" t="s">
        <v>190</v>
      </c>
      <c r="L133" s="242"/>
      <c r="M133" s="252">
        <f>0</f>
      </c>
      <c r="N133" s="252"/>
      <c r="O133" s="252"/>
      <c r="P133" s="270" t="s">
        <v>47</v>
      </c>
      <c r="Q133" s="270"/>
      <c r="R133" s="270"/>
      <c r="S133" s="270"/>
      <c r="T133" s="262">
        <f>0</f>
      </c>
      <c r="U133" s="262"/>
    </row>
    <row r="134" spans="1:21" s="1" customFormat="1" ht="13.5" customHeight="1">
      <c r="A134" s="240" t="s">
        <v>94</v>
      </c>
      <c r="B134" s="240"/>
      <c r="C134" s="240"/>
      <c r="D134" s="240"/>
      <c r="E134" s="240"/>
      <c r="F134" s="240"/>
      <c r="G134" s="240"/>
      <c r="H134" s="240"/>
      <c r="I134" s="242" t="s">
        <v>81</v>
      </c>
      <c r="J134" s="242"/>
      <c r="K134" s="242" t="s">
        <v>191</v>
      </c>
      <c r="L134" s="242"/>
      <c r="M134" s="252">
        <f>0</f>
      </c>
      <c r="N134" s="252"/>
      <c r="O134" s="252"/>
      <c r="P134" s="270" t="s">
        <v>47</v>
      </c>
      <c r="Q134" s="270"/>
      <c r="R134" s="270"/>
      <c r="S134" s="270"/>
      <c r="T134" s="262">
        <f>0</f>
      </c>
      <c r="U134" s="262"/>
    </row>
    <row r="135" spans="1:21" s="1" customFormat="1" ht="13.5" customHeight="1">
      <c r="A135" s="240" t="s">
        <v>100</v>
      </c>
      <c r="B135" s="240"/>
      <c r="C135" s="240"/>
      <c r="D135" s="240"/>
      <c r="E135" s="240"/>
      <c r="F135" s="240"/>
      <c r="G135" s="240"/>
      <c r="H135" s="240"/>
      <c r="I135" s="242" t="s">
        <v>81</v>
      </c>
      <c r="J135" s="242"/>
      <c r="K135" s="242" t="s">
        <v>192</v>
      </c>
      <c r="L135" s="242"/>
      <c r="M135" s="252">
        <f>27200</f>
      </c>
      <c r="N135" s="252"/>
      <c r="O135" s="252"/>
      <c r="P135" s="252">
        <f>27128.76</f>
      </c>
      <c r="Q135" s="252"/>
      <c r="R135" s="252"/>
      <c r="S135" s="252"/>
      <c r="T135" s="262">
        <f>71.24</f>
      </c>
      <c r="U135" s="262"/>
    </row>
    <row r="136" spans="1:21" s="1" customFormat="1" ht="13.5" customHeight="1">
      <c r="A136" s="240" t="s">
        <v>114</v>
      </c>
      <c r="B136" s="240"/>
      <c r="C136" s="240"/>
      <c r="D136" s="240"/>
      <c r="E136" s="240"/>
      <c r="F136" s="240"/>
      <c r="G136" s="240"/>
      <c r="H136" s="240"/>
      <c r="I136" s="242" t="s">
        <v>81</v>
      </c>
      <c r="J136" s="242"/>
      <c r="K136" s="242" t="s">
        <v>193</v>
      </c>
      <c r="L136" s="242"/>
      <c r="M136" s="252">
        <f>3000</f>
      </c>
      <c r="N136" s="252"/>
      <c r="O136" s="252"/>
      <c r="P136" s="252">
        <f>3000</f>
      </c>
      <c r="Q136" s="252"/>
      <c r="R136" s="252"/>
      <c r="S136" s="252"/>
      <c r="T136" s="262">
        <f>0</f>
      </c>
      <c r="U136" s="262"/>
    </row>
    <row r="137" spans="1:21" s="1" customFormat="1" ht="13.5" customHeight="1">
      <c r="A137" s="240" t="s">
        <v>120</v>
      </c>
      <c r="B137" s="240"/>
      <c r="C137" s="240"/>
      <c r="D137" s="240"/>
      <c r="E137" s="240"/>
      <c r="F137" s="240"/>
      <c r="G137" s="240"/>
      <c r="H137" s="240"/>
      <c r="I137" s="242" t="s">
        <v>81</v>
      </c>
      <c r="J137" s="242"/>
      <c r="K137" s="242" t="s">
        <v>194</v>
      </c>
      <c r="L137" s="242"/>
      <c r="M137" s="252">
        <f>700000</f>
      </c>
      <c r="N137" s="252"/>
      <c r="O137" s="252"/>
      <c r="P137" s="270" t="s">
        <v>47</v>
      </c>
      <c r="Q137" s="270"/>
      <c r="R137" s="270"/>
      <c r="S137" s="270"/>
      <c r="T137" s="262">
        <f>700000</f>
      </c>
      <c r="U137" s="262"/>
    </row>
    <row r="138" spans="1:21" s="1" customFormat="1" ht="15" customHeight="1">
      <c r="A138" s="279" t="s">
        <v>195</v>
      </c>
      <c r="B138" s="279"/>
      <c r="C138" s="279"/>
      <c r="D138" s="279"/>
      <c r="E138" s="279"/>
      <c r="F138" s="279"/>
      <c r="G138" s="279"/>
      <c r="H138" s="279"/>
      <c r="I138" s="281" t="s">
        <v>196</v>
      </c>
      <c r="J138" s="281"/>
      <c r="K138" s="281" t="s">
        <v>38</v>
      </c>
      <c r="L138" s="281"/>
      <c r="M138" s="291">
        <f>-2619202.1</f>
      </c>
      <c r="N138" s="291"/>
      <c r="O138" s="291"/>
      <c r="P138" s="291">
        <f>505399.42</f>
      </c>
      <c r="Q138" s="291"/>
      <c r="R138" s="291"/>
      <c r="S138" s="291"/>
      <c r="T138" s="300" t="s">
        <v>38</v>
      </c>
      <c r="U138" s="300"/>
    </row>
    <row r="139" spans="1:21" s="1" customFormat="1" ht="13.5" customHeight="1">
      <c r="A139" s="55" t="s">
        <v>18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s="1" customFormat="1" ht="13.5" customHeight="1">
      <c r="A140" s="90" t="s">
        <v>197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" customFormat="1" ht="45.75" customHeight="1">
      <c r="A141" s="102" t="s">
        <v>24</v>
      </c>
      <c r="B141" s="102"/>
      <c r="C141" s="102"/>
      <c r="D141" s="102"/>
      <c r="E141" s="102"/>
      <c r="F141" s="102"/>
      <c r="G141" s="102"/>
      <c r="H141" s="102"/>
      <c r="I141" s="102" t="s">
        <v>25</v>
      </c>
      <c r="J141" s="102"/>
      <c r="K141" s="102" t="s">
        <v>198</v>
      </c>
      <c r="L141" s="102"/>
      <c r="M141" s="114" t="s">
        <v>27</v>
      </c>
      <c r="N141" s="114"/>
      <c r="O141" s="114"/>
      <c r="P141" s="114" t="s">
        <v>28</v>
      </c>
      <c r="Q141" s="114"/>
      <c r="R141" s="114"/>
      <c r="S141" s="114"/>
      <c r="T141" s="125" t="s">
        <v>29</v>
      </c>
      <c r="U141" s="125"/>
    </row>
    <row r="142" spans="1:21" s="1" customFormat="1" ht="12.75" customHeight="1">
      <c r="A142" s="135" t="s">
        <v>30</v>
      </c>
      <c r="B142" s="135"/>
      <c r="C142" s="135"/>
      <c r="D142" s="135"/>
      <c r="E142" s="135"/>
      <c r="F142" s="135"/>
      <c r="G142" s="135"/>
      <c r="H142" s="135"/>
      <c r="I142" s="135" t="s">
        <v>31</v>
      </c>
      <c r="J142" s="135"/>
      <c r="K142" s="135" t="s">
        <v>32</v>
      </c>
      <c r="L142" s="135"/>
      <c r="M142" s="145" t="s">
        <v>33</v>
      </c>
      <c r="N142" s="145"/>
      <c r="O142" s="145"/>
      <c r="P142" s="145" t="s">
        <v>34</v>
      </c>
      <c r="Q142" s="145"/>
      <c r="R142" s="145"/>
      <c r="S142" s="145"/>
      <c r="T142" s="155" t="s">
        <v>35</v>
      </c>
      <c r="U142" s="155"/>
    </row>
    <row r="143" spans="1:21" s="1" customFormat="1" ht="13.5" customHeight="1">
      <c r="A143" s="163" t="s">
        <v>199</v>
      </c>
      <c r="B143" s="163"/>
      <c r="C143" s="163"/>
      <c r="D143" s="163"/>
      <c r="E143" s="163"/>
      <c r="F143" s="163"/>
      <c r="G143" s="163"/>
      <c r="H143" s="163"/>
      <c r="I143" s="165" t="s">
        <v>200</v>
      </c>
      <c r="J143" s="165"/>
      <c r="K143" s="165" t="s">
        <v>38</v>
      </c>
      <c r="L143" s="165"/>
      <c r="M143" s="312">
        <f>2619202.1</f>
      </c>
      <c r="N143" s="312"/>
      <c r="O143" s="312"/>
      <c r="P143" s="174">
        <f>-505399.42</f>
      </c>
      <c r="Q143" s="174"/>
      <c r="R143" s="174"/>
      <c r="S143" s="174"/>
      <c r="T143" s="324">
        <f>3124601.52</f>
      </c>
      <c r="U143" s="324"/>
    </row>
    <row r="144" spans="1:21" s="1" customFormat="1" ht="13.5" customHeight="1">
      <c r="A144" s="332" t="s">
        <v>201</v>
      </c>
      <c r="B144" s="332"/>
      <c r="C144" s="332"/>
      <c r="D144" s="332"/>
      <c r="E144" s="332"/>
      <c r="F144" s="332"/>
      <c r="G144" s="332"/>
      <c r="H144" s="332"/>
      <c r="I144" s="334" t="s">
        <v>18</v>
      </c>
      <c r="J144" s="334"/>
      <c r="K144" s="334" t="s">
        <v>18</v>
      </c>
      <c r="L144" s="334"/>
      <c r="M144" s="342" t="s">
        <v>18</v>
      </c>
      <c r="N144" s="342"/>
      <c r="O144" s="342"/>
      <c r="P144" s="350" t="s">
        <v>18</v>
      </c>
      <c r="Q144" s="350"/>
      <c r="R144" s="350"/>
      <c r="S144" s="350"/>
      <c r="T144" s="358" t="s">
        <v>18</v>
      </c>
      <c r="U144" s="358"/>
    </row>
    <row r="145" spans="1:21" s="1" customFormat="1" ht="13.5" customHeight="1">
      <c r="A145" s="192" t="s">
        <v>202</v>
      </c>
      <c r="B145" s="192"/>
      <c r="C145" s="192"/>
      <c r="D145" s="192"/>
      <c r="E145" s="192"/>
      <c r="F145" s="192"/>
      <c r="G145" s="192"/>
      <c r="H145" s="192"/>
      <c r="I145" s="366" t="s">
        <v>203</v>
      </c>
      <c r="J145" s="366"/>
      <c r="K145" s="194" t="s">
        <v>38</v>
      </c>
      <c r="L145" s="194"/>
      <c r="M145" s="374" t="s">
        <v>47</v>
      </c>
      <c r="N145" s="374"/>
      <c r="O145" s="374"/>
      <c r="P145" s="222" t="s">
        <v>47</v>
      </c>
      <c r="Q145" s="222"/>
      <c r="R145" s="222"/>
      <c r="S145" s="222"/>
      <c r="T145" s="382" t="s">
        <v>47</v>
      </c>
      <c r="U145" s="382"/>
    </row>
    <row r="146" spans="1:21" s="1" customFormat="1" ht="13.5" customHeight="1">
      <c r="A146" s="240" t="s">
        <v>18</v>
      </c>
      <c r="B146" s="240"/>
      <c r="C146" s="240"/>
      <c r="D146" s="240"/>
      <c r="E146" s="240"/>
      <c r="F146" s="240"/>
      <c r="G146" s="240"/>
      <c r="H146" s="240"/>
      <c r="I146" s="242" t="s">
        <v>203</v>
      </c>
      <c r="J146" s="242"/>
      <c r="K146" s="242" t="s">
        <v>18</v>
      </c>
      <c r="L146" s="242"/>
      <c r="M146" s="391" t="s">
        <v>47</v>
      </c>
      <c r="N146" s="391"/>
      <c r="O146" s="391"/>
      <c r="P146" s="270" t="s">
        <v>47</v>
      </c>
      <c r="Q146" s="270"/>
      <c r="R146" s="270"/>
      <c r="S146" s="270"/>
      <c r="T146" s="400" t="s">
        <v>47</v>
      </c>
      <c r="U146" s="400"/>
    </row>
    <row r="147" spans="1:21" s="1" customFormat="1" ht="0.75" customHeight="1">
      <c r="A147" s="402" t="s">
        <v>18</v>
      </c>
      <c r="B147" s="402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</row>
    <row r="148" spans="1:21" s="1" customFormat="1" ht="13.5" customHeight="1">
      <c r="A148" s="240" t="s">
        <v>204</v>
      </c>
      <c r="B148" s="240"/>
      <c r="C148" s="240"/>
      <c r="D148" s="240"/>
      <c r="E148" s="240"/>
      <c r="F148" s="240"/>
      <c r="G148" s="240"/>
      <c r="H148" s="240"/>
      <c r="I148" s="334" t="s">
        <v>205</v>
      </c>
      <c r="J148" s="334"/>
      <c r="K148" s="334" t="s">
        <v>38</v>
      </c>
      <c r="L148" s="334"/>
      <c r="M148" s="342" t="s">
        <v>47</v>
      </c>
      <c r="N148" s="342"/>
      <c r="O148" s="342"/>
      <c r="P148" s="270" t="s">
        <v>47</v>
      </c>
      <c r="Q148" s="270"/>
      <c r="R148" s="270"/>
      <c r="S148" s="270"/>
      <c r="T148" s="358" t="s">
        <v>47</v>
      </c>
      <c r="U148" s="358"/>
    </row>
    <row r="149" spans="1:21" s="1" customFormat="1" ht="13.5" customHeight="1">
      <c r="A149" s="240" t="s">
        <v>18</v>
      </c>
      <c r="B149" s="240"/>
      <c r="C149" s="240"/>
      <c r="D149" s="240"/>
      <c r="E149" s="240"/>
      <c r="F149" s="240"/>
      <c r="G149" s="240"/>
      <c r="H149" s="240"/>
      <c r="I149" s="242" t="s">
        <v>205</v>
      </c>
      <c r="J149" s="242"/>
      <c r="K149" s="242" t="s">
        <v>18</v>
      </c>
      <c r="L149" s="242"/>
      <c r="M149" s="391" t="s">
        <v>47</v>
      </c>
      <c r="N149" s="391"/>
      <c r="O149" s="391"/>
      <c r="P149" s="270" t="s">
        <v>47</v>
      </c>
      <c r="Q149" s="270"/>
      <c r="R149" s="270"/>
      <c r="S149" s="270"/>
      <c r="T149" s="400" t="s">
        <v>47</v>
      </c>
      <c r="U149" s="400"/>
    </row>
    <row r="150" spans="1:21" s="1" customFormat="1" ht="13.5" customHeight="1">
      <c r="A150" s="240" t="s">
        <v>206</v>
      </c>
      <c r="B150" s="240"/>
      <c r="C150" s="240"/>
      <c r="D150" s="240"/>
      <c r="E150" s="240"/>
      <c r="F150" s="240"/>
      <c r="G150" s="240"/>
      <c r="H150" s="240"/>
      <c r="I150" s="242" t="s">
        <v>207</v>
      </c>
      <c r="J150" s="242"/>
      <c r="K150" s="242" t="s">
        <v>208</v>
      </c>
      <c r="L150" s="242"/>
      <c r="M150" s="411">
        <f>2619202.1</f>
      </c>
      <c r="N150" s="411"/>
      <c r="O150" s="411"/>
      <c r="P150" s="252">
        <f>-505399.42</f>
      </c>
      <c r="Q150" s="252"/>
      <c r="R150" s="252"/>
      <c r="S150" s="252"/>
      <c r="T150" s="420">
        <f>3124601.52</f>
      </c>
      <c r="U150" s="420"/>
    </row>
    <row r="151" spans="1:21" s="1" customFormat="1" ht="13.5" customHeight="1">
      <c r="A151" s="240" t="s">
        <v>209</v>
      </c>
      <c r="B151" s="240"/>
      <c r="C151" s="240"/>
      <c r="D151" s="240"/>
      <c r="E151" s="240"/>
      <c r="F151" s="240"/>
      <c r="G151" s="240"/>
      <c r="H151" s="240"/>
      <c r="I151" s="242" t="s">
        <v>210</v>
      </c>
      <c r="J151" s="242"/>
      <c r="K151" s="242" t="s">
        <v>211</v>
      </c>
      <c r="L151" s="242"/>
      <c r="M151" s="411">
        <f>-31798246.17</f>
      </c>
      <c r="N151" s="411"/>
      <c r="O151" s="411"/>
      <c r="P151" s="252">
        <f>-25802063.45</f>
      </c>
      <c r="Q151" s="252"/>
      <c r="R151" s="252"/>
      <c r="S151" s="252"/>
      <c r="T151" s="422" t="s">
        <v>38</v>
      </c>
      <c r="U151" s="422"/>
    </row>
    <row r="152" spans="1:21" s="1" customFormat="1" ht="13.5" customHeight="1">
      <c r="A152" s="240" t="s">
        <v>212</v>
      </c>
      <c r="B152" s="240"/>
      <c r="C152" s="240"/>
      <c r="D152" s="240"/>
      <c r="E152" s="240"/>
      <c r="F152" s="240"/>
      <c r="G152" s="240"/>
      <c r="H152" s="240"/>
      <c r="I152" s="242" t="s">
        <v>213</v>
      </c>
      <c r="J152" s="242"/>
      <c r="K152" s="242" t="s">
        <v>214</v>
      </c>
      <c r="L152" s="242"/>
      <c r="M152" s="411">
        <f>34417448.27</f>
      </c>
      <c r="N152" s="411"/>
      <c r="O152" s="411"/>
      <c r="P152" s="252">
        <f>25296664.03</f>
      </c>
      <c r="Q152" s="252"/>
      <c r="R152" s="252"/>
      <c r="S152" s="252"/>
      <c r="T152" s="422" t="s">
        <v>38</v>
      </c>
      <c r="U152" s="422"/>
    </row>
    <row r="153" spans="1:21" s="1" customFormat="1" ht="13.5" customHeight="1">
      <c r="A153" s="424" t="s">
        <v>18</v>
      </c>
      <c r="B153" s="424"/>
      <c r="C153" s="424"/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</row>
    <row r="154" spans="1:21" s="1" customFormat="1" ht="13.5" customHeight="1">
      <c r="A154" s="55" t="s">
        <v>215</v>
      </c>
      <c r="B154" s="55"/>
      <c r="C154" s="55"/>
      <c r="D154" s="55"/>
      <c r="E154" s="55"/>
      <c r="F154" s="423" t="s">
        <v>18</v>
      </c>
      <c r="G154" s="423"/>
      <c r="H154" s="423"/>
      <c r="I154" s="423"/>
      <c r="J154" s="423"/>
      <c r="K154" s="423" t="s">
        <v>216</v>
      </c>
      <c r="L154" s="423"/>
      <c r="M154" s="423"/>
      <c r="N154" s="423"/>
      <c r="O154" s="55" t="s">
        <v>18</v>
      </c>
      <c r="P154" s="55"/>
      <c r="Q154" s="55"/>
      <c r="R154" s="55"/>
      <c r="S154" s="55"/>
      <c r="T154" s="55"/>
      <c r="U154" s="55"/>
    </row>
    <row r="155" spans="1:21" s="1" customFormat="1" ht="13.5" customHeight="1">
      <c r="A155" s="55" t="s">
        <v>18</v>
      </c>
      <c r="B155" s="55"/>
      <c r="C155" s="55"/>
      <c r="D155" s="55"/>
      <c r="E155" s="55"/>
      <c r="F155" s="79" t="s">
        <v>18</v>
      </c>
      <c r="G155" s="432" t="s">
        <v>217</v>
      </c>
      <c r="H155" s="432"/>
      <c r="I155" s="432"/>
      <c r="J155" s="79" t="s">
        <v>18</v>
      </c>
      <c r="K155" s="79" t="s">
        <v>18</v>
      </c>
      <c r="L155" s="432" t="s">
        <v>218</v>
      </c>
      <c r="M155" s="432"/>
      <c r="N155" s="55" t="s">
        <v>18</v>
      </c>
      <c r="O155" s="55"/>
      <c r="P155" s="55"/>
      <c r="Q155" s="55"/>
      <c r="R155" s="55"/>
      <c r="S155" s="55"/>
      <c r="T155" s="55"/>
      <c r="U155" s="55"/>
    </row>
    <row r="156" spans="1:21" s="1" customFormat="1" ht="7.5" customHeight="1">
      <c r="A156" s="55" t="s">
        <v>18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s="1" customFormat="1" ht="13.5" customHeight="1">
      <c r="A157" s="55" t="s">
        <v>219</v>
      </c>
      <c r="B157" s="55"/>
      <c r="C157" s="55"/>
      <c r="D157" s="55"/>
      <c r="E157" s="55"/>
      <c r="F157" s="423" t="s">
        <v>18</v>
      </c>
      <c r="G157" s="423"/>
      <c r="H157" s="423"/>
      <c r="I157" s="423"/>
      <c r="J157" s="423"/>
      <c r="K157" s="423" t="s">
        <v>220</v>
      </c>
      <c r="L157" s="423"/>
      <c r="M157" s="423"/>
      <c r="N157" s="423"/>
      <c r="O157" s="55" t="s">
        <v>18</v>
      </c>
      <c r="P157" s="55"/>
      <c r="Q157" s="55"/>
      <c r="R157" s="55"/>
      <c r="S157" s="55"/>
      <c r="T157" s="55"/>
      <c r="U157" s="55"/>
    </row>
    <row r="158" spans="1:21" s="1" customFormat="1" ht="13.5" customHeight="1">
      <c r="A158" s="55" t="s">
        <v>18</v>
      </c>
      <c r="B158" s="55"/>
      <c r="C158" s="55"/>
      <c r="D158" s="55"/>
      <c r="E158" s="55"/>
      <c r="F158" s="79" t="s">
        <v>18</v>
      </c>
      <c r="G158" s="432" t="s">
        <v>217</v>
      </c>
      <c r="H158" s="432"/>
      <c r="I158" s="432"/>
      <c r="J158" s="79" t="s">
        <v>18</v>
      </c>
      <c r="K158" s="79" t="s">
        <v>18</v>
      </c>
      <c r="L158" s="432" t="s">
        <v>218</v>
      </c>
      <c r="M158" s="432"/>
      <c r="N158" s="55" t="s">
        <v>18</v>
      </c>
      <c r="O158" s="55"/>
      <c r="P158" s="55"/>
      <c r="Q158" s="55"/>
      <c r="R158" s="55"/>
      <c r="S158" s="55"/>
      <c r="T158" s="55"/>
      <c r="U158" s="55"/>
    </row>
    <row r="159" spans="1:21" s="1" customFormat="1" ht="15.75" customHeight="1">
      <c r="A159" s="55" t="s">
        <v>18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s="1" customFormat="1" ht="13.5" customHeight="1">
      <c r="A160" s="434" t="s">
        <v>221</v>
      </c>
      <c r="B160" s="434"/>
      <c r="C160" s="434"/>
      <c r="D160" s="434"/>
      <c r="E160" s="434"/>
      <c r="F160" s="434"/>
      <c r="G160" s="434"/>
      <c r="H160" s="55" t="s">
        <v>18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</sheetData>
  <mergeCells count="870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H30"/>
    <mergeCell ref="I30:J30"/>
    <mergeCell ref="K30:L30"/>
    <mergeCell ref="M30:O30"/>
    <mergeCell ref="P30:S30"/>
    <mergeCell ref="T30:U30"/>
    <mergeCell ref="A31:H31"/>
    <mergeCell ref="I31:J31"/>
    <mergeCell ref="K31:L31"/>
    <mergeCell ref="M31:O31"/>
    <mergeCell ref="P31:S31"/>
    <mergeCell ref="T31:U31"/>
    <mergeCell ref="A32:U32"/>
    <mergeCell ref="A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H41"/>
    <mergeCell ref="I41:J41"/>
    <mergeCell ref="K41:L41"/>
    <mergeCell ref="M41:O41"/>
    <mergeCell ref="P41:S41"/>
    <mergeCell ref="T41:U41"/>
    <mergeCell ref="A42:H42"/>
    <mergeCell ref="I42:J42"/>
    <mergeCell ref="K42:L42"/>
    <mergeCell ref="M42:O42"/>
    <mergeCell ref="P42:S42"/>
    <mergeCell ref="T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5:H135"/>
    <mergeCell ref="I135:J135"/>
    <mergeCell ref="K135:L135"/>
    <mergeCell ref="M135:O135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9:U139"/>
    <mergeCell ref="A140:U140"/>
    <mergeCell ref="A141:H141"/>
    <mergeCell ref="I141:J141"/>
    <mergeCell ref="K141:L141"/>
    <mergeCell ref="M141:O141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3:H143"/>
    <mergeCell ref="I143:J143"/>
    <mergeCell ref="K143:L143"/>
    <mergeCell ref="M143:O143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5:H145"/>
    <mergeCell ref="I145:J145"/>
    <mergeCell ref="K145:L145"/>
    <mergeCell ref="M145:O145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7:U147"/>
    <mergeCell ref="A148:H148"/>
    <mergeCell ref="I148:J148"/>
    <mergeCell ref="K148:L148"/>
    <mergeCell ref="M148:O148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50:H150"/>
    <mergeCell ref="I150:J150"/>
    <mergeCell ref="K150:L150"/>
    <mergeCell ref="M150:O150"/>
    <mergeCell ref="P150:S150"/>
    <mergeCell ref="T150:U150"/>
    <mergeCell ref="A151:H151"/>
    <mergeCell ref="I151:J151"/>
    <mergeCell ref="K151:L151"/>
    <mergeCell ref="M151:O151"/>
    <mergeCell ref="P151:S151"/>
    <mergeCell ref="T151:U151"/>
    <mergeCell ref="A152:H152"/>
    <mergeCell ref="I152:J152"/>
    <mergeCell ref="K152:L152"/>
    <mergeCell ref="M152:O152"/>
    <mergeCell ref="P152:S152"/>
    <mergeCell ref="T152:U152"/>
    <mergeCell ref="A153:U153"/>
    <mergeCell ref="A154:E154"/>
    <mergeCell ref="F154:J154"/>
    <mergeCell ref="K154:N154"/>
    <mergeCell ref="O154:U154"/>
    <mergeCell ref="A155:E155"/>
    <mergeCell ref="G155:I155"/>
    <mergeCell ref="L155:M155"/>
    <mergeCell ref="N155:U155"/>
    <mergeCell ref="A156:U156"/>
    <mergeCell ref="A157:E157"/>
    <mergeCell ref="F157:J157"/>
    <mergeCell ref="K157:N157"/>
    <mergeCell ref="O157:U157"/>
    <mergeCell ref="A158:E158"/>
    <mergeCell ref="G158:I158"/>
    <mergeCell ref="L158:M158"/>
    <mergeCell ref="N158:U158"/>
    <mergeCell ref="A159:U159"/>
    <mergeCell ref="A160:G160"/>
    <mergeCell ref="H160:U16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3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