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<sst xmlns="http://schemas.openxmlformats.org/spreadsheetml/2006/main" count="532" uniqueCount="226">
  <si>
    <t>ОТЧЕТ ОБ ИСПОЛНЕНИИ БЮДЖЕТА</t>
  </si>
  <si>
    <t>КОДЫ</t>
  </si>
  <si>
    <t xml:space="preserve">Форма по ОКУД </t>
  </si>
  <si>
    <t>0503117</t>
  </si>
  <si>
    <t>на 1 декабря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</si>
  <si>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</si>
  <si>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</si>
  <si>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</si>
  <si>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</si>
  <si>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</si>
  <si>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</si>
  <si>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</si>
  <si>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</si>
  <si>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</si>
  <si>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</si>
  <si>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</si>
  <si>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</si>
  <si>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</si>
  <si>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</si>
  <si>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</si>
  <si>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</si>
  <si>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</si>
  <si>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</si>
  <si>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</si>
  <si>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</si>
  <si>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</si>
  <si>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</si>
  <si>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</si>
  <si>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</si>
  <si>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</si>
  <si>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</si>
  <si>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</si>
  <si>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</si>
  <si>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</si>
  <si>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</si>
  <si>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</si>
  <si>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</si>
  <si>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</si>
  <si>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</si>
  <si>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</si>
  <si>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</si>
  <si>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</si>
  <si>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</si>
  <si>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</si>
  <si>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</si>
  <si>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</si>
  <si>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</si>
  <si>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</si>
  <si>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</si>
  <si>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</si>
  <si>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</si>
  <si>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</si>
  <si>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</si>
  <si>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</si>
  <si>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</si>
  <si>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</si>
  <si>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</si>
  <si>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</si>
  <si>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</si>
  <si>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</si>
  <si>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</si>
  <si>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</si>
  <si>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</si>
  <si>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</si>
  <si>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</si>
  <si>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</si>
  <si>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</si>
  <si>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</si>
  <si>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</si>
  <si>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</si>
  <si>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</si>
  <si>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</si>
  <si>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</si>
  <si>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</si>
  <si>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</si>
  <si>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</si>
  <si>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</si>
  <si>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</si>
  <si>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</si>
  <si>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</si>
  <si>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</si>
  <si>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</si>
  <si>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</si>
  <si>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</si>
  <si>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</si>
  <si>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</si>
  <si>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</si>
  <si>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</si>
  <si>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</si>
  <si>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</si>
  <si>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</si>
  <si>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</si>
  <si>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</si>
  <si>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</si>
  <si>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</si>
  <si>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</si>
  <si>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</si>
  <si>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</si>
  <si>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</si>
  <si>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</si>
  <si>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</si>
  <si>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</si>
  <si>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</si>
  <si>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</si>
  <si>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</si>
  <si>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</si>
  <si>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</si>
  <si>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</si>
  <si>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</si>
  <si>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</si>
  <si>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</si>
  <si>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</si>
  <si>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Работы, услуги по содержанию имущества</t>
  </si>
  <si>
    <t>650 0113 4010245 242 225</t>
  </si>
  <si>
    <t>Увеличение стоимости материальных запасов</t>
  </si>
  <si>
    <t>650 0113 4010245 242 340</t>
  </si>
  <si>
    <t>650 0113 4010245 244 222</t>
  </si>
  <si>
    <t>650 0113 4010245 244 223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</si>
  <si>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</si>
  <si>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</si>
  <si>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</si>
  <si>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</si>
  <si>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</si>
  <si>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</si>
  <si>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</si>
  <si>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</si>
  <si>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</si>
  <si>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650 0203 4045118 242 310</t>
  </si>
  <si>
    <t>650 0203 4045118 242 340</t>
  </si>
  <si>
    <t>650 0304 1215930 121 211</t>
  </si>
  <si>
    <t>650 0304 1215930 121 213</t>
  </si>
  <si>
    <t>650 0304 1215930 244 340</t>
  </si>
  <si>
    <t>650 0309 4022124 244 225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</si>
  <si>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</si>
  <si>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</si>
  <si>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</si>
  <si>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</si>
  <si>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</si>
  <si>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</si>
  <si>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</si>
  <si>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</si>
  <si>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</si>
  <si>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</si>
  <si>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</si>
  <si>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</si>
  <si>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</si>
  <si>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</si>
  <si>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</si>
  <si>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</si>
  <si>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650 0501 4062120 244 226</t>
  </si>
  <si>
    <t>650 0501 4065431 243 225</t>
  </si>
  <si>
    <t>650 0501 4065431 244 226</t>
  </si>
  <si>
    <t>650 0502 1015430 243 225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</si>
  <si>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</si>
  <si>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</si>
  <si>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</si>
  <si>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</si>
  <si>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</si>
  <si>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</si>
  <si>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</si>
  <si>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</si>
  <si>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</si>
  <si>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650 0801 0315418 242 226</t>
  </si>
  <si>
    <t>650 0801 0315418 242 340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</si>
  <si>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</si>
  <si>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</si>
  <si>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</si>
  <si>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</si>
  <si>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</si>
  <si>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</si>
  <si>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</si>
  <si>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</si>
  <si>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</si>
  <si>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</si>
  <si>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</si>
  <si>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</si>
  <si>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</si>
  <si>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</si>
  <si>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</si>
  <si>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</si>
  <si>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</si>
  <si>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</si>
  <si>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</si>
  <si>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</si>
  <si>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</si>
  <si>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</si>
  <si>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</si>
  <si>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</si>
  <si>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</si>
  <si>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</si>
  <si>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</si>
  <si>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</si>
  <si>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</si>
  <si>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</si>
  <si>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</si>
  <si>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</si>
  <si>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</si>
  <si>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</si>
  <si>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650 1101 4125608 244 310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</si>
  <si>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</si>
  <si>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</si>
  <si>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</si>
  <si>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</si>
  <si>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</si>
  <si>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</si>
  <si>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</si>
  <si>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</si>
  <si>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</si>
  <si>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</si>
  <si>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</si>
  <si>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</si>
  <si>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</si>
  <si>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</si>
  <si>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</si>
  <si>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</si>
  <si>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</si>
  <si>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</si>
  <si>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</si>
  <si>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</si>
  <si>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</si>
  <si>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</si>
  <si>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</si>
  <si>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</si>
  <si>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</si>
  <si>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</si>
  <si>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16 декабря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</si>
</sst>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45">
      <selection activeCell="A149" sqref="A149:H14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42339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34096087.44</f>
        <v>34096087.44</v>
      </c>
      <c r="N12" s="21"/>
      <c r="O12" s="21"/>
      <c r="P12" s="21">
        <f>28207025.11</f>
        <v>28207025.11</v>
      </c>
      <c r="Q12" s="21"/>
      <c r="R12" s="21"/>
      <c r="S12" s="21"/>
      <c r="T12" s="22">
        <f>5889062.33</f>
        <v>5889062.33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3210500</f>
        <v>3210500</v>
      </c>
      <c r="N15" s="25"/>
      <c r="O15" s="25"/>
      <c r="P15" s="25">
        <f>2541865.85</f>
        <v>2541865.85</v>
      </c>
      <c r="Q15" s="25"/>
      <c r="R15" s="25"/>
      <c r="S15" s="25"/>
      <c r="T15" s="26">
        <f>668634.15</f>
        <v>668634.15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67000</f>
        <v>67000</v>
      </c>
      <c r="N18" s="25"/>
      <c r="O18" s="25"/>
      <c r="P18" s="25">
        <f>75803.13</f>
        <v>75803.13</v>
      </c>
      <c r="Q18" s="25"/>
      <c r="R18" s="25"/>
      <c r="S18" s="25"/>
      <c r="T18" s="26">
        <f>-8803.13</f>
        <v>-8803.13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259000</f>
        <v>259000</v>
      </c>
      <c r="N19" s="25"/>
      <c r="O19" s="25"/>
      <c r="P19" s="25">
        <f>233196</f>
        <v>233196</v>
      </c>
      <c r="Q19" s="25"/>
      <c r="R19" s="25"/>
      <c r="S19" s="25"/>
      <c r="T19" s="26">
        <f>25804</f>
        <v>25804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47000</f>
        <v>47000</v>
      </c>
      <c r="N20" s="25"/>
      <c r="O20" s="25"/>
      <c r="P20" s="25">
        <f>57650.75</f>
        <v>57650.75</v>
      </c>
      <c r="Q20" s="25"/>
      <c r="R20" s="25"/>
      <c r="S20" s="25"/>
      <c r="T20" s="26">
        <f>-10650.75</f>
        <v>-10650.75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83000</f>
        <v>83000</v>
      </c>
      <c r="N21" s="25"/>
      <c r="O21" s="25"/>
      <c r="P21" s="25">
        <f>90150</f>
        <v>90150</v>
      </c>
      <c r="Q21" s="25"/>
      <c r="R21" s="25"/>
      <c r="S21" s="25"/>
      <c r="T21" s="26">
        <f>-7150</f>
        <v>-7150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304000</f>
        <v>304000</v>
      </c>
      <c r="N22" s="25"/>
      <c r="O22" s="25"/>
      <c r="P22" s="25">
        <f>261265.01</f>
        <v>261265.01</v>
      </c>
      <c r="Q22" s="25"/>
      <c r="R22" s="25"/>
      <c r="S22" s="25"/>
      <c r="T22" s="26">
        <f>42734.99</f>
        <v>42734.99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70000</f>
        <v>70000</v>
      </c>
      <c r="N23" s="25"/>
      <c r="O23" s="25"/>
      <c r="P23" s="25">
        <f>73255</f>
        <v>73255</v>
      </c>
      <c r="Q23" s="25"/>
      <c r="R23" s="25"/>
      <c r="S23" s="25"/>
      <c r="T23" s="26">
        <f>-3255</f>
        <v>-3255</v>
      </c>
      <c r="U23" s="26"/>
    </row>
    <row r="24" spans="1:21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7" t="s">
        <v>47</v>
      </c>
      <c r="N24" s="27"/>
      <c r="O24" s="27"/>
      <c r="P24" s="25">
        <f>0</f>
        <v>0</v>
      </c>
      <c r="Q24" s="25"/>
      <c r="R24" s="25"/>
      <c r="S24" s="25"/>
      <c r="T24" s="26">
        <f>0</f>
        <v>0</v>
      </c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5">
        <f>9284800</f>
        <v>9284800</v>
      </c>
      <c r="N25" s="25"/>
      <c r="O25" s="25"/>
      <c r="P25" s="25">
        <f>8703654.57</f>
        <v>8703654.57</v>
      </c>
      <c r="Q25" s="25"/>
      <c r="R25" s="25"/>
      <c r="S25" s="25"/>
      <c r="T25" s="26">
        <f>581145.43</f>
        <v>581145.43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12064293.53</f>
        <v>12064293.53</v>
      </c>
      <c r="N26" s="25"/>
      <c r="O26" s="25"/>
      <c r="P26" s="25">
        <f>10644210.08</f>
        <v>10644210.08</v>
      </c>
      <c r="Q26" s="25"/>
      <c r="R26" s="25"/>
      <c r="S26" s="25"/>
      <c r="T26" s="26">
        <f>1420083.45</f>
        <v>1420083.45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34000</f>
        <v>34000</v>
      </c>
      <c r="N27" s="25"/>
      <c r="O27" s="25"/>
      <c r="P27" s="25">
        <f>34000</f>
        <v>34000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461643.16</f>
        <v>461643.16</v>
      </c>
      <c r="N28" s="25"/>
      <c r="O28" s="25"/>
      <c r="P28" s="25">
        <f>461643.16</f>
        <v>461643.16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25163.23</f>
        <v>25163.23</v>
      </c>
      <c r="N29" s="25"/>
      <c r="O29" s="25"/>
      <c r="P29" s="25">
        <f>25163.23</f>
        <v>25163.23</v>
      </c>
      <c r="Q29" s="25"/>
      <c r="R29" s="25"/>
      <c r="S29" s="25"/>
      <c r="T29" s="26">
        <f>0</f>
        <v>0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8185687.52</f>
        <v>8185687.52</v>
      </c>
      <c r="N30" s="25"/>
      <c r="O30" s="25"/>
      <c r="P30" s="25">
        <f>5003542.83</f>
        <v>5003542.83</v>
      </c>
      <c r="Q30" s="25"/>
      <c r="R30" s="25"/>
      <c r="S30" s="25"/>
      <c r="T30" s="26">
        <f>3182144.69</f>
        <v>3182144.69</v>
      </c>
      <c r="U30" s="26"/>
    </row>
    <row r="31" spans="1:21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47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36715289.54</f>
        <v>36715289.54</v>
      </c>
      <c r="N36" s="21"/>
      <c r="O36" s="21"/>
      <c r="P36" s="21">
        <f>27142996.17</f>
        <v>27142996.17</v>
      </c>
      <c r="Q36" s="21"/>
      <c r="R36" s="21"/>
      <c r="S36" s="21"/>
      <c r="T36" s="22">
        <f>9572293.37</f>
        <v>9572293.37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1174000</f>
        <v>1174000</v>
      </c>
      <c r="N37" s="31"/>
      <c r="O37" s="31"/>
      <c r="P37" s="31">
        <f>1095043.32</f>
        <v>1095043.32</v>
      </c>
      <c r="Q37" s="31"/>
      <c r="R37" s="31"/>
      <c r="S37" s="31"/>
      <c r="T37" s="32">
        <f>78956.68</f>
        <v>78956.68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276000</f>
        <v>276000</v>
      </c>
      <c r="N38" s="31"/>
      <c r="O38" s="31"/>
      <c r="P38" s="31">
        <f>259999.03</f>
        <v>259999.03</v>
      </c>
      <c r="Q38" s="31"/>
      <c r="R38" s="31"/>
      <c r="S38" s="31"/>
      <c r="T38" s="32">
        <f>16000.97</f>
        <v>16000.97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1680000</f>
        <v>1680000</v>
      </c>
      <c r="N39" s="31"/>
      <c r="O39" s="31"/>
      <c r="P39" s="31">
        <f>1507009.63</f>
        <v>1507009.63</v>
      </c>
      <c r="Q39" s="31"/>
      <c r="R39" s="31"/>
      <c r="S39" s="31"/>
      <c r="T39" s="32">
        <f>172990.37</f>
        <v>172990.37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440000</f>
        <v>440000</v>
      </c>
      <c r="N40" s="31"/>
      <c r="O40" s="31"/>
      <c r="P40" s="31">
        <f>400000</f>
        <v>400000</v>
      </c>
      <c r="Q40" s="31"/>
      <c r="R40" s="31"/>
      <c r="S40" s="31"/>
      <c r="T40" s="32">
        <f>40000</f>
        <v>40000</v>
      </c>
      <c r="U40" s="32"/>
    </row>
    <row r="41" spans="1:21" s="1" customFormat="1" ht="13.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88</v>
      </c>
      <c r="L41" s="30"/>
      <c r="M41" s="31">
        <f>6030000</f>
        <v>6030000</v>
      </c>
      <c r="N41" s="31"/>
      <c r="O41" s="31"/>
      <c r="P41" s="31">
        <f>4737344.61</f>
        <v>4737344.61</v>
      </c>
      <c r="Q41" s="31"/>
      <c r="R41" s="31"/>
      <c r="S41" s="31"/>
      <c r="T41" s="32">
        <f>1292655.39</f>
        <v>1292655.39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89</v>
      </c>
      <c r="L42" s="30"/>
      <c r="M42" s="31">
        <f>1603400</f>
        <v>1603400</v>
      </c>
      <c r="N42" s="31"/>
      <c r="O42" s="31"/>
      <c r="P42" s="31">
        <f>1258131.81</f>
        <v>1258131.81</v>
      </c>
      <c r="Q42" s="31"/>
      <c r="R42" s="31"/>
      <c r="S42" s="31"/>
      <c r="T42" s="32">
        <f>345268.19</f>
        <v>345268.19</v>
      </c>
      <c r="U42" s="32"/>
    </row>
    <row r="43" spans="1:21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91</v>
      </c>
      <c r="L43" s="30"/>
      <c r="M43" s="31">
        <f>10000</f>
        <v>10000</v>
      </c>
      <c r="N43" s="31"/>
      <c r="O43" s="31"/>
      <c r="P43" s="31">
        <f>9500</f>
        <v>9500</v>
      </c>
      <c r="Q43" s="31"/>
      <c r="R43" s="31"/>
      <c r="S43" s="31"/>
      <c r="T43" s="32">
        <f>500</f>
        <v>500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93</v>
      </c>
      <c r="L44" s="30"/>
      <c r="M44" s="31">
        <f>35000</f>
        <v>35000</v>
      </c>
      <c r="N44" s="31"/>
      <c r="O44" s="31"/>
      <c r="P44" s="31">
        <f>27898.1</f>
        <v>27898.1</v>
      </c>
      <c r="Q44" s="31"/>
      <c r="R44" s="31"/>
      <c r="S44" s="31"/>
      <c r="T44" s="32">
        <f>7101.9</f>
        <v>7101.9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95</v>
      </c>
      <c r="L45" s="30"/>
      <c r="M45" s="31">
        <f>40000</f>
        <v>40000</v>
      </c>
      <c r="N45" s="31"/>
      <c r="O45" s="31"/>
      <c r="P45" s="31">
        <f>36496</f>
        <v>36496</v>
      </c>
      <c r="Q45" s="31"/>
      <c r="R45" s="31"/>
      <c r="S45" s="31"/>
      <c r="T45" s="32">
        <f>3504</f>
        <v>3504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97</v>
      </c>
      <c r="L46" s="30"/>
      <c r="M46" s="31">
        <f>80000</f>
        <v>80000</v>
      </c>
      <c r="N46" s="31"/>
      <c r="O46" s="31"/>
      <c r="P46" s="31">
        <f>65839.41</f>
        <v>65839.41</v>
      </c>
      <c r="Q46" s="31"/>
      <c r="R46" s="31"/>
      <c r="S46" s="31"/>
      <c r="T46" s="32">
        <f>14160.59</f>
        <v>14160.59</v>
      </c>
      <c r="U46" s="32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98</v>
      </c>
      <c r="L47" s="30"/>
      <c r="M47" s="31">
        <f>10900</f>
        <v>10900</v>
      </c>
      <c r="N47" s="31"/>
      <c r="O47" s="31"/>
      <c r="P47" s="31">
        <f>6968.26</f>
        <v>6968.26</v>
      </c>
      <c r="Q47" s="31"/>
      <c r="R47" s="31"/>
      <c r="S47" s="31"/>
      <c r="T47" s="32">
        <f>3931.74</f>
        <v>3931.74</v>
      </c>
      <c r="U47" s="32"/>
    </row>
    <row r="48" spans="1:21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99</v>
      </c>
      <c r="L48" s="30"/>
      <c r="M48" s="31">
        <f>96000</f>
        <v>96000</v>
      </c>
      <c r="N48" s="31"/>
      <c r="O48" s="31"/>
      <c r="P48" s="31">
        <f>54387.68</f>
        <v>54387.68</v>
      </c>
      <c r="Q48" s="31"/>
      <c r="R48" s="31"/>
      <c r="S48" s="31"/>
      <c r="T48" s="32">
        <f>41612.32</f>
        <v>41612.32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101</v>
      </c>
      <c r="L49" s="30"/>
      <c r="M49" s="31">
        <f>17000</f>
        <v>17000</v>
      </c>
      <c r="N49" s="31"/>
      <c r="O49" s="31"/>
      <c r="P49" s="31">
        <f>11700</f>
        <v>11700</v>
      </c>
      <c r="Q49" s="31"/>
      <c r="R49" s="31"/>
      <c r="S49" s="31"/>
      <c r="T49" s="32">
        <f>5300</f>
        <v>5300</v>
      </c>
      <c r="U49" s="32"/>
    </row>
    <row r="50" spans="1:21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102</v>
      </c>
      <c r="L50" s="30"/>
      <c r="M50" s="31">
        <f>15000</f>
        <v>15000</v>
      </c>
      <c r="N50" s="31"/>
      <c r="O50" s="31"/>
      <c r="P50" s="31">
        <f>15000</f>
        <v>15000</v>
      </c>
      <c r="Q50" s="31"/>
      <c r="R50" s="31"/>
      <c r="S50" s="31"/>
      <c r="T50" s="32">
        <f>0</f>
        <v>0</v>
      </c>
      <c r="U50" s="32"/>
    </row>
    <row r="51" spans="1:21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104</v>
      </c>
      <c r="L51" s="30"/>
      <c r="M51" s="31">
        <f>0</f>
        <v>0</v>
      </c>
      <c r="N51" s="31"/>
      <c r="O51" s="31"/>
      <c r="P51" s="31">
        <f>0</f>
        <v>0</v>
      </c>
      <c r="Q51" s="31"/>
      <c r="R51" s="31"/>
      <c r="S51" s="31"/>
      <c r="T51" s="32">
        <f>0</f>
        <v>0</v>
      </c>
      <c r="U51" s="32"/>
    </row>
    <row r="52" spans="1:21" s="1" customFormat="1" ht="13.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105</v>
      </c>
      <c r="L52" s="30"/>
      <c r="M52" s="31">
        <f>56000</f>
        <v>56000</v>
      </c>
      <c r="N52" s="31"/>
      <c r="O52" s="31"/>
      <c r="P52" s="33" t="s">
        <v>47</v>
      </c>
      <c r="Q52" s="33"/>
      <c r="R52" s="33"/>
      <c r="S52" s="33"/>
      <c r="T52" s="32">
        <f>56000</f>
        <v>56000</v>
      </c>
      <c r="U52" s="32"/>
    </row>
    <row r="53" spans="1:2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107</v>
      </c>
      <c r="L53" s="30"/>
      <c r="M53" s="31">
        <f>68000</f>
        <v>68000</v>
      </c>
      <c r="N53" s="31"/>
      <c r="O53" s="31"/>
      <c r="P53" s="33" t="s">
        <v>47</v>
      </c>
      <c r="Q53" s="33"/>
      <c r="R53" s="33"/>
      <c r="S53" s="33"/>
      <c r="T53" s="32">
        <f>68000</f>
        <v>68000</v>
      </c>
      <c r="U53" s="32"/>
    </row>
    <row r="54" spans="1:21" s="1" customFormat="1" ht="13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108</v>
      </c>
      <c r="L54" s="30"/>
      <c r="M54" s="31">
        <f>326000</f>
        <v>326000</v>
      </c>
      <c r="N54" s="31"/>
      <c r="O54" s="31"/>
      <c r="P54" s="31">
        <f>206522.18</f>
        <v>206522.18</v>
      </c>
      <c r="Q54" s="31"/>
      <c r="R54" s="31"/>
      <c r="S54" s="31"/>
      <c r="T54" s="32">
        <f>119477.82</f>
        <v>119477.82</v>
      </c>
      <c r="U54" s="32"/>
    </row>
    <row r="55" spans="1:21" s="1" customFormat="1" ht="13.5" customHeight="1">
      <c r="A55" s="29" t="s">
        <v>100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109</v>
      </c>
      <c r="L55" s="30"/>
      <c r="M55" s="31">
        <f>22600</f>
        <v>22600</v>
      </c>
      <c r="N55" s="31"/>
      <c r="O55" s="31"/>
      <c r="P55" s="31">
        <f>5959</f>
        <v>5959</v>
      </c>
      <c r="Q55" s="31"/>
      <c r="R55" s="31"/>
      <c r="S55" s="31"/>
      <c r="T55" s="32">
        <f>16641</f>
        <v>16641</v>
      </c>
      <c r="U55" s="32"/>
    </row>
    <row r="56" spans="1:21" s="1" customFormat="1" ht="13.5" customHeight="1">
      <c r="A56" s="29" t="s">
        <v>100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110</v>
      </c>
      <c r="L56" s="30"/>
      <c r="M56" s="31">
        <f>56000</f>
        <v>56000</v>
      </c>
      <c r="N56" s="31"/>
      <c r="O56" s="31"/>
      <c r="P56" s="31">
        <f>41685</f>
        <v>41685</v>
      </c>
      <c r="Q56" s="31"/>
      <c r="R56" s="31"/>
      <c r="S56" s="31"/>
      <c r="T56" s="32">
        <f>14315</f>
        <v>14315</v>
      </c>
      <c r="U56" s="32"/>
    </row>
    <row r="57" spans="1:21" s="1" customFormat="1" ht="13.5" customHeight="1">
      <c r="A57" s="29" t="s">
        <v>90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111</v>
      </c>
      <c r="L57" s="30"/>
      <c r="M57" s="31">
        <f>298000</f>
        <v>298000</v>
      </c>
      <c r="N57" s="31"/>
      <c r="O57" s="31"/>
      <c r="P57" s="31">
        <f>220108.35</f>
        <v>220108.35</v>
      </c>
      <c r="Q57" s="31"/>
      <c r="R57" s="31"/>
      <c r="S57" s="31"/>
      <c r="T57" s="32">
        <f>77891.65</f>
        <v>77891.65</v>
      </c>
      <c r="U57" s="32"/>
    </row>
    <row r="58" spans="1:21" s="1" customFormat="1" ht="13.5" customHeight="1">
      <c r="A58" s="29" t="s">
        <v>112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113</v>
      </c>
      <c r="L58" s="30"/>
      <c r="M58" s="31">
        <f>23000</f>
        <v>23000</v>
      </c>
      <c r="N58" s="31"/>
      <c r="O58" s="31"/>
      <c r="P58" s="31">
        <f>5000</f>
        <v>5000</v>
      </c>
      <c r="Q58" s="31"/>
      <c r="R58" s="31"/>
      <c r="S58" s="31"/>
      <c r="T58" s="32">
        <f>18000</f>
        <v>18000</v>
      </c>
      <c r="U58" s="32"/>
    </row>
    <row r="59" spans="1:21" s="1" customFormat="1" ht="13.5" customHeight="1">
      <c r="A59" s="29" t="s">
        <v>114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115</v>
      </c>
      <c r="L59" s="30"/>
      <c r="M59" s="31">
        <f>17000</f>
        <v>17000</v>
      </c>
      <c r="N59" s="31"/>
      <c r="O59" s="31"/>
      <c r="P59" s="31">
        <f>6545</f>
        <v>6545</v>
      </c>
      <c r="Q59" s="31"/>
      <c r="R59" s="31"/>
      <c r="S59" s="31"/>
      <c r="T59" s="32">
        <f>10455</f>
        <v>10455</v>
      </c>
      <c r="U59" s="32"/>
    </row>
    <row r="60" spans="1:21" s="1" customFormat="1" ht="13.5" customHeight="1">
      <c r="A60" s="29" t="s">
        <v>92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116</v>
      </c>
      <c r="L60" s="30"/>
      <c r="M60" s="31">
        <f>1000</f>
        <v>1000</v>
      </c>
      <c r="N60" s="31"/>
      <c r="O60" s="31"/>
      <c r="P60" s="31">
        <f>822</f>
        <v>822</v>
      </c>
      <c r="Q60" s="31"/>
      <c r="R60" s="31"/>
      <c r="S60" s="31"/>
      <c r="T60" s="32">
        <f>178</f>
        <v>178</v>
      </c>
      <c r="U60" s="32"/>
    </row>
    <row r="61" spans="1:21" s="1" customFormat="1" ht="13.5" customHeight="1">
      <c r="A61" s="29" t="s">
        <v>106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117</v>
      </c>
      <c r="L61" s="30"/>
      <c r="M61" s="31">
        <f>450000</f>
        <v>450000</v>
      </c>
      <c r="N61" s="31"/>
      <c r="O61" s="31"/>
      <c r="P61" s="31">
        <f>271027.2</f>
        <v>271027.2</v>
      </c>
      <c r="Q61" s="31"/>
      <c r="R61" s="31"/>
      <c r="S61" s="31"/>
      <c r="T61" s="32">
        <f>178972.8</f>
        <v>178972.8</v>
      </c>
      <c r="U61" s="32"/>
    </row>
    <row r="62" spans="1:21" s="1" customFormat="1" ht="13.5" customHeight="1">
      <c r="A62" s="29" t="s">
        <v>112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118</v>
      </c>
      <c r="L62" s="30"/>
      <c r="M62" s="31">
        <f>290000</f>
        <v>290000</v>
      </c>
      <c r="N62" s="31"/>
      <c r="O62" s="31"/>
      <c r="P62" s="31">
        <f>242015.81</f>
        <v>242015.81</v>
      </c>
      <c r="Q62" s="31"/>
      <c r="R62" s="31"/>
      <c r="S62" s="31"/>
      <c r="T62" s="32">
        <f>47984.19</f>
        <v>47984.19</v>
      </c>
      <c r="U62" s="32"/>
    </row>
    <row r="63" spans="1:21" s="1" customFormat="1" ht="13.5" customHeight="1">
      <c r="A63" s="29" t="s">
        <v>94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119</v>
      </c>
      <c r="L63" s="30"/>
      <c r="M63" s="31">
        <f>37000</f>
        <v>37000</v>
      </c>
      <c r="N63" s="31"/>
      <c r="O63" s="31"/>
      <c r="P63" s="31">
        <f>9979.12</f>
        <v>9979.12</v>
      </c>
      <c r="Q63" s="31"/>
      <c r="R63" s="31"/>
      <c r="S63" s="31"/>
      <c r="T63" s="32">
        <f>27020.88</f>
        <v>27020.88</v>
      </c>
      <c r="U63" s="32"/>
    </row>
    <row r="64" spans="1:21" s="1" customFormat="1" ht="13.5" customHeight="1">
      <c r="A64" s="29" t="s">
        <v>120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121</v>
      </c>
      <c r="L64" s="30"/>
      <c r="M64" s="31">
        <f>30000</f>
        <v>30000</v>
      </c>
      <c r="N64" s="31"/>
      <c r="O64" s="31"/>
      <c r="P64" s="31">
        <f>30000</f>
        <v>30000</v>
      </c>
      <c r="Q64" s="31"/>
      <c r="R64" s="31"/>
      <c r="S64" s="31"/>
      <c r="T64" s="32">
        <f>0</f>
        <v>0</v>
      </c>
      <c r="U64" s="32"/>
    </row>
    <row r="65" spans="1:21" s="1" customFormat="1" ht="13.5" customHeight="1">
      <c r="A65" s="29" t="s">
        <v>114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122</v>
      </c>
      <c r="L65" s="30"/>
      <c r="M65" s="31">
        <f>290000</f>
        <v>290000</v>
      </c>
      <c r="N65" s="31"/>
      <c r="O65" s="31"/>
      <c r="P65" s="31">
        <f>244049.22</f>
        <v>244049.22</v>
      </c>
      <c r="Q65" s="31"/>
      <c r="R65" s="31"/>
      <c r="S65" s="31"/>
      <c r="T65" s="32">
        <f>45950.78</f>
        <v>45950.78</v>
      </c>
      <c r="U65" s="32"/>
    </row>
    <row r="66" spans="1:21" s="1" customFormat="1" ht="13.5" customHeight="1">
      <c r="A66" s="29" t="s">
        <v>100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123</v>
      </c>
      <c r="L66" s="30"/>
      <c r="M66" s="31">
        <f>1000</f>
        <v>1000</v>
      </c>
      <c r="N66" s="31"/>
      <c r="O66" s="31"/>
      <c r="P66" s="31">
        <f>720</f>
        <v>720</v>
      </c>
      <c r="Q66" s="31"/>
      <c r="R66" s="31"/>
      <c r="S66" s="31"/>
      <c r="T66" s="32">
        <f>280</f>
        <v>280</v>
      </c>
      <c r="U66" s="32"/>
    </row>
    <row r="67" spans="1:21" s="1" customFormat="1" ht="13.5" customHeight="1">
      <c r="A67" s="29" t="s">
        <v>103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124</v>
      </c>
      <c r="L67" s="30"/>
      <c r="M67" s="31">
        <f>28106</f>
        <v>28106</v>
      </c>
      <c r="N67" s="31"/>
      <c r="O67" s="31"/>
      <c r="P67" s="31">
        <f>28106</f>
        <v>28106</v>
      </c>
      <c r="Q67" s="31"/>
      <c r="R67" s="31"/>
      <c r="S67" s="31"/>
      <c r="T67" s="32">
        <f>0</f>
        <v>0</v>
      </c>
      <c r="U67" s="32"/>
    </row>
    <row r="68" spans="1:21" s="1" customFormat="1" ht="13.5" customHeight="1">
      <c r="A68" s="29" t="s">
        <v>82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125</v>
      </c>
      <c r="L68" s="30"/>
      <c r="M68" s="31">
        <f>307701.47</f>
        <v>307701.47</v>
      </c>
      <c r="N68" s="31"/>
      <c r="O68" s="31"/>
      <c r="P68" s="31">
        <f>273681.17</f>
        <v>273681.17</v>
      </c>
      <c r="Q68" s="31"/>
      <c r="R68" s="31"/>
      <c r="S68" s="31"/>
      <c r="T68" s="32">
        <f>34020.3</f>
        <v>34020.3</v>
      </c>
      <c r="U68" s="32"/>
    </row>
    <row r="69" spans="1:21" s="1" customFormat="1" ht="13.5" customHeight="1">
      <c r="A69" s="29" t="s">
        <v>84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126</v>
      </c>
      <c r="L69" s="30"/>
      <c r="M69" s="31">
        <f>92925.85</f>
        <v>92925.85</v>
      </c>
      <c r="N69" s="31"/>
      <c r="O69" s="31"/>
      <c r="P69" s="31">
        <f>81141.72</f>
        <v>81141.72</v>
      </c>
      <c r="Q69" s="31"/>
      <c r="R69" s="31"/>
      <c r="S69" s="31"/>
      <c r="T69" s="32">
        <f>11784.13</f>
        <v>11784.13</v>
      </c>
      <c r="U69" s="32"/>
    </row>
    <row r="70" spans="1:21" s="1" customFormat="1" ht="13.5" customHeight="1">
      <c r="A70" s="29" t="s">
        <v>120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127</v>
      </c>
      <c r="L70" s="30"/>
      <c r="M70" s="31">
        <f>56310</f>
        <v>56310</v>
      </c>
      <c r="N70" s="31"/>
      <c r="O70" s="31"/>
      <c r="P70" s="31">
        <f>56310</f>
        <v>56310</v>
      </c>
      <c r="Q70" s="31"/>
      <c r="R70" s="31"/>
      <c r="S70" s="31"/>
      <c r="T70" s="32">
        <f>0</f>
        <v>0</v>
      </c>
      <c r="U70" s="32"/>
    </row>
    <row r="71" spans="1:21" s="1" customFormat="1" ht="13.5" customHeight="1">
      <c r="A71" s="29" t="s">
        <v>114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128</v>
      </c>
      <c r="L71" s="30"/>
      <c r="M71" s="31">
        <f>4705.84</f>
        <v>4705.84</v>
      </c>
      <c r="N71" s="31"/>
      <c r="O71" s="31"/>
      <c r="P71" s="31">
        <f>4705.84</f>
        <v>4705.84</v>
      </c>
      <c r="Q71" s="31"/>
      <c r="R71" s="31"/>
      <c r="S71" s="31"/>
      <c r="T71" s="32">
        <f>0</f>
        <v>0</v>
      </c>
      <c r="U71" s="32"/>
    </row>
    <row r="72" spans="1:21" s="1" customFormat="1" ht="13.5" customHeight="1">
      <c r="A72" s="29" t="s">
        <v>82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129</v>
      </c>
      <c r="L72" s="30"/>
      <c r="M72" s="31">
        <f>24600</f>
        <v>24600</v>
      </c>
      <c r="N72" s="31"/>
      <c r="O72" s="31"/>
      <c r="P72" s="31">
        <f>18450</f>
        <v>18450</v>
      </c>
      <c r="Q72" s="31"/>
      <c r="R72" s="31"/>
      <c r="S72" s="31"/>
      <c r="T72" s="32">
        <f>6150</f>
        <v>6150</v>
      </c>
      <c r="U72" s="32"/>
    </row>
    <row r="73" spans="1:21" s="1" customFormat="1" ht="13.5" customHeight="1">
      <c r="A73" s="29" t="s">
        <v>84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130</v>
      </c>
      <c r="L73" s="30"/>
      <c r="M73" s="31">
        <f>7400</f>
        <v>7400</v>
      </c>
      <c r="N73" s="31"/>
      <c r="O73" s="31"/>
      <c r="P73" s="31">
        <f>5571.9</f>
        <v>5571.9</v>
      </c>
      <c r="Q73" s="31"/>
      <c r="R73" s="31"/>
      <c r="S73" s="31"/>
      <c r="T73" s="32">
        <f>1828.1</f>
        <v>1828.1</v>
      </c>
      <c r="U73" s="32"/>
    </row>
    <row r="74" spans="1:21" s="1" customFormat="1" ht="13.5" customHeight="1">
      <c r="A74" s="29" t="s">
        <v>114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131</v>
      </c>
      <c r="L74" s="30"/>
      <c r="M74" s="31">
        <f>2000</f>
        <v>2000</v>
      </c>
      <c r="N74" s="31"/>
      <c r="O74" s="31"/>
      <c r="P74" s="31">
        <f>2000</f>
        <v>2000</v>
      </c>
      <c r="Q74" s="31"/>
      <c r="R74" s="31"/>
      <c r="S74" s="31"/>
      <c r="T74" s="32">
        <f>0</f>
        <v>0</v>
      </c>
      <c r="U74" s="32"/>
    </row>
    <row r="75" spans="1:21" s="1" customFormat="1" ht="13.5" customHeight="1">
      <c r="A75" s="29" t="s">
        <v>112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132</v>
      </c>
      <c r="L75" s="30"/>
      <c r="M75" s="31">
        <f>15000</f>
        <v>15000</v>
      </c>
      <c r="N75" s="31"/>
      <c r="O75" s="31"/>
      <c r="P75" s="31">
        <f>15000</f>
        <v>15000</v>
      </c>
      <c r="Q75" s="31"/>
      <c r="R75" s="31"/>
      <c r="S75" s="31"/>
      <c r="T75" s="32">
        <f>0</f>
        <v>0</v>
      </c>
      <c r="U75" s="32"/>
    </row>
    <row r="76" spans="1:21" s="1" customFormat="1" ht="13.5" customHeight="1">
      <c r="A76" s="29" t="s">
        <v>114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133</v>
      </c>
      <c r="L76" s="30"/>
      <c r="M76" s="31">
        <f>47000</f>
        <v>47000</v>
      </c>
      <c r="N76" s="31"/>
      <c r="O76" s="31"/>
      <c r="P76" s="31">
        <f>8650</f>
        <v>8650</v>
      </c>
      <c r="Q76" s="31"/>
      <c r="R76" s="31"/>
      <c r="S76" s="31"/>
      <c r="T76" s="32">
        <f>38350</f>
        <v>38350</v>
      </c>
      <c r="U76" s="32"/>
    </row>
    <row r="77" spans="1:21" s="1" customFormat="1" ht="13.5" customHeight="1">
      <c r="A77" s="29" t="s">
        <v>114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134</v>
      </c>
      <c r="L77" s="30"/>
      <c r="M77" s="31">
        <f>86000</f>
        <v>86000</v>
      </c>
      <c r="N77" s="31"/>
      <c r="O77" s="31"/>
      <c r="P77" s="31">
        <f>48200</f>
        <v>48200</v>
      </c>
      <c r="Q77" s="31"/>
      <c r="R77" s="31"/>
      <c r="S77" s="31"/>
      <c r="T77" s="32">
        <f>37800</f>
        <v>37800</v>
      </c>
      <c r="U77" s="32"/>
    </row>
    <row r="78" spans="1:21" s="1" customFormat="1" ht="13.5" customHeight="1">
      <c r="A78" s="29" t="s">
        <v>82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135</v>
      </c>
      <c r="L78" s="30"/>
      <c r="M78" s="31">
        <f>59352.96</f>
        <v>59352.96</v>
      </c>
      <c r="N78" s="31"/>
      <c r="O78" s="31"/>
      <c r="P78" s="31">
        <f>54118.24</f>
        <v>54118.24</v>
      </c>
      <c r="Q78" s="31"/>
      <c r="R78" s="31"/>
      <c r="S78" s="31"/>
      <c r="T78" s="32">
        <f>5234.72</f>
        <v>5234.72</v>
      </c>
      <c r="U78" s="32"/>
    </row>
    <row r="79" spans="1:21" s="1" customFormat="1" ht="13.5" customHeight="1">
      <c r="A79" s="29" t="s">
        <v>84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136</v>
      </c>
      <c r="L79" s="30"/>
      <c r="M79" s="31">
        <f>17957.58</f>
        <v>17957.58</v>
      </c>
      <c r="N79" s="31"/>
      <c r="O79" s="31"/>
      <c r="P79" s="31">
        <f>16343.67</f>
        <v>16343.67</v>
      </c>
      <c r="Q79" s="31"/>
      <c r="R79" s="31"/>
      <c r="S79" s="31"/>
      <c r="T79" s="32">
        <f>1613.91</f>
        <v>1613.91</v>
      </c>
      <c r="U79" s="32"/>
    </row>
    <row r="80" spans="1:21" s="1" customFormat="1" ht="13.5" customHeight="1">
      <c r="A80" s="29" t="s">
        <v>82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137</v>
      </c>
      <c r="L80" s="30"/>
      <c r="M80" s="31">
        <f>1030143.76</f>
        <v>1030143.76</v>
      </c>
      <c r="N80" s="31"/>
      <c r="O80" s="31"/>
      <c r="P80" s="31">
        <f>941399.98</f>
        <v>941399.98</v>
      </c>
      <c r="Q80" s="31"/>
      <c r="R80" s="31"/>
      <c r="S80" s="31"/>
      <c r="T80" s="32">
        <f>88743.78</f>
        <v>88743.78</v>
      </c>
      <c r="U80" s="32"/>
    </row>
    <row r="81" spans="1:21" s="1" customFormat="1" ht="13.5" customHeight="1">
      <c r="A81" s="29" t="s">
        <v>84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138</v>
      </c>
      <c r="L81" s="30"/>
      <c r="M81" s="31">
        <f>309198.75</f>
        <v>309198.75</v>
      </c>
      <c r="N81" s="31"/>
      <c r="O81" s="31"/>
      <c r="P81" s="31">
        <f>284554.88</f>
        <v>284554.88</v>
      </c>
      <c r="Q81" s="31"/>
      <c r="R81" s="31"/>
      <c r="S81" s="31"/>
      <c r="T81" s="32">
        <f>24643.87</f>
        <v>24643.87</v>
      </c>
      <c r="U81" s="32"/>
    </row>
    <row r="82" spans="1:21" s="1" customFormat="1" ht="13.5" customHeight="1">
      <c r="A82" s="29" t="s">
        <v>82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139</v>
      </c>
      <c r="L82" s="30"/>
      <c r="M82" s="31">
        <f>19326.6</f>
        <v>19326.6</v>
      </c>
      <c r="N82" s="31"/>
      <c r="O82" s="31"/>
      <c r="P82" s="31">
        <f>19326.6</f>
        <v>19326.6</v>
      </c>
      <c r="Q82" s="31"/>
      <c r="R82" s="31"/>
      <c r="S82" s="31"/>
      <c r="T82" s="32">
        <f>0</f>
        <v>0</v>
      </c>
      <c r="U82" s="32"/>
    </row>
    <row r="83" spans="1:21" s="1" customFormat="1" ht="13.5" customHeight="1">
      <c r="A83" s="29" t="s">
        <v>84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140</v>
      </c>
      <c r="L83" s="30"/>
      <c r="M83" s="31">
        <f>5836.63</f>
        <v>5836.63</v>
      </c>
      <c r="N83" s="31"/>
      <c r="O83" s="31"/>
      <c r="P83" s="31">
        <f>5836.63</f>
        <v>5836.63</v>
      </c>
      <c r="Q83" s="31"/>
      <c r="R83" s="31"/>
      <c r="S83" s="31"/>
      <c r="T83" s="32">
        <f>0</f>
        <v>0</v>
      </c>
      <c r="U83" s="32"/>
    </row>
    <row r="84" spans="1:21" s="1" customFormat="1" ht="13.5" customHeight="1">
      <c r="A84" s="29" t="s">
        <v>112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141</v>
      </c>
      <c r="L84" s="30"/>
      <c r="M84" s="31">
        <f>0</f>
        <v>0</v>
      </c>
      <c r="N84" s="31"/>
      <c r="O84" s="31"/>
      <c r="P84" s="33" t="s">
        <v>47</v>
      </c>
      <c r="Q84" s="33"/>
      <c r="R84" s="33"/>
      <c r="S84" s="33"/>
      <c r="T84" s="32">
        <f>0</f>
        <v>0</v>
      </c>
      <c r="U84" s="32"/>
    </row>
    <row r="85" spans="1:21" s="1" customFormat="1" ht="13.5" customHeight="1">
      <c r="A85" s="29" t="s">
        <v>112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142</v>
      </c>
      <c r="L85" s="30"/>
      <c r="M85" s="31">
        <f>1215042</f>
        <v>1215042</v>
      </c>
      <c r="N85" s="31"/>
      <c r="O85" s="31"/>
      <c r="P85" s="31">
        <f>1215042</f>
        <v>1215042</v>
      </c>
      <c r="Q85" s="31"/>
      <c r="R85" s="31"/>
      <c r="S85" s="31"/>
      <c r="T85" s="32">
        <f>0</f>
        <v>0</v>
      </c>
      <c r="U85" s="32"/>
    </row>
    <row r="86" spans="1:21" s="1" customFormat="1" ht="13.5" customHeight="1">
      <c r="A86" s="29" t="s">
        <v>112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143</v>
      </c>
      <c r="L86" s="30"/>
      <c r="M86" s="31">
        <f>889978.47</f>
        <v>889978.47</v>
      </c>
      <c r="N86" s="31"/>
      <c r="O86" s="31"/>
      <c r="P86" s="31">
        <f>619046.37</f>
        <v>619046.37</v>
      </c>
      <c r="Q86" s="31"/>
      <c r="R86" s="31"/>
      <c r="S86" s="31"/>
      <c r="T86" s="32">
        <f>270932.1</f>
        <v>270932.1</v>
      </c>
      <c r="U86" s="32"/>
    </row>
    <row r="87" spans="1:21" s="1" customFormat="1" ht="13.5" customHeight="1">
      <c r="A87" s="29" t="s">
        <v>114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144</v>
      </c>
      <c r="L87" s="30"/>
      <c r="M87" s="31">
        <f>122158</f>
        <v>122158</v>
      </c>
      <c r="N87" s="31"/>
      <c r="O87" s="31"/>
      <c r="P87" s="31">
        <f>79000</f>
        <v>79000</v>
      </c>
      <c r="Q87" s="31"/>
      <c r="R87" s="31"/>
      <c r="S87" s="31"/>
      <c r="T87" s="32">
        <f>43158</f>
        <v>43158</v>
      </c>
      <c r="U87" s="32"/>
    </row>
    <row r="88" spans="1:21" s="1" customFormat="1" ht="13.5" customHeight="1">
      <c r="A88" s="29" t="s">
        <v>96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145</v>
      </c>
      <c r="L88" s="30"/>
      <c r="M88" s="31">
        <f>40000</f>
        <v>40000</v>
      </c>
      <c r="N88" s="31"/>
      <c r="O88" s="31"/>
      <c r="P88" s="31">
        <f>26922.58</f>
        <v>26922.58</v>
      </c>
      <c r="Q88" s="31"/>
      <c r="R88" s="31"/>
      <c r="S88" s="31"/>
      <c r="T88" s="32">
        <f>13077.42</f>
        <v>13077.42</v>
      </c>
      <c r="U88" s="32"/>
    </row>
    <row r="89" spans="1:21" s="1" customFormat="1" ht="13.5" customHeight="1">
      <c r="A89" s="29" t="s">
        <v>94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146</v>
      </c>
      <c r="L89" s="30"/>
      <c r="M89" s="31">
        <f>196000</f>
        <v>196000</v>
      </c>
      <c r="N89" s="31"/>
      <c r="O89" s="31"/>
      <c r="P89" s="31">
        <f>191606.5</f>
        <v>191606.5</v>
      </c>
      <c r="Q89" s="31"/>
      <c r="R89" s="31"/>
      <c r="S89" s="31"/>
      <c r="T89" s="32">
        <f>4393.5</f>
        <v>4393.5</v>
      </c>
      <c r="U89" s="32"/>
    </row>
    <row r="90" spans="1:21" s="1" customFormat="1" ht="13.5" customHeight="1">
      <c r="A90" s="29" t="s">
        <v>94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147</v>
      </c>
      <c r="L90" s="30"/>
      <c r="M90" s="31">
        <f>126000</f>
        <v>126000</v>
      </c>
      <c r="N90" s="31"/>
      <c r="O90" s="31"/>
      <c r="P90" s="31">
        <f>86392</f>
        <v>86392</v>
      </c>
      <c r="Q90" s="31"/>
      <c r="R90" s="31"/>
      <c r="S90" s="31"/>
      <c r="T90" s="32">
        <f>39608</f>
        <v>39608</v>
      </c>
      <c r="U90" s="32"/>
    </row>
    <row r="91" spans="1:21" s="1" customFormat="1" ht="13.5" customHeight="1">
      <c r="A91" s="29" t="s">
        <v>112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148</v>
      </c>
      <c r="L91" s="30"/>
      <c r="M91" s="31">
        <f>231000</f>
        <v>231000</v>
      </c>
      <c r="N91" s="31"/>
      <c r="O91" s="31"/>
      <c r="P91" s="31">
        <f>225161.05</f>
        <v>225161.05</v>
      </c>
      <c r="Q91" s="31"/>
      <c r="R91" s="31"/>
      <c r="S91" s="31"/>
      <c r="T91" s="32">
        <f>5838.95</f>
        <v>5838.95</v>
      </c>
      <c r="U91" s="32"/>
    </row>
    <row r="92" spans="1:21" s="1" customFormat="1" ht="13.5" customHeight="1">
      <c r="A92" s="29" t="s">
        <v>94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149</v>
      </c>
      <c r="L92" s="30"/>
      <c r="M92" s="31">
        <f>15000</f>
        <v>15000</v>
      </c>
      <c r="N92" s="31"/>
      <c r="O92" s="31"/>
      <c r="P92" s="31">
        <f>14317.1</f>
        <v>14317.1</v>
      </c>
      <c r="Q92" s="31"/>
      <c r="R92" s="31"/>
      <c r="S92" s="31"/>
      <c r="T92" s="32">
        <f>682.9</f>
        <v>682.9</v>
      </c>
      <c r="U92" s="32"/>
    </row>
    <row r="93" spans="1:21" s="1" customFormat="1" ht="13.5" customHeight="1">
      <c r="A93" s="29" t="s">
        <v>112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150</v>
      </c>
      <c r="L93" s="30"/>
      <c r="M93" s="31">
        <f>2078000</f>
        <v>2078000</v>
      </c>
      <c r="N93" s="31"/>
      <c r="O93" s="31"/>
      <c r="P93" s="31">
        <f>2038380.6</f>
        <v>2038380.6</v>
      </c>
      <c r="Q93" s="31"/>
      <c r="R93" s="31"/>
      <c r="S93" s="31"/>
      <c r="T93" s="32">
        <f>39619.4</f>
        <v>39619.4</v>
      </c>
      <c r="U93" s="32"/>
    </row>
    <row r="94" spans="1:21" s="1" customFormat="1" ht="13.5" customHeight="1">
      <c r="A94" s="29" t="s">
        <v>94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151</v>
      </c>
      <c r="L94" s="30"/>
      <c r="M94" s="31">
        <f>60000</f>
        <v>60000</v>
      </c>
      <c r="N94" s="31"/>
      <c r="O94" s="31"/>
      <c r="P94" s="31">
        <f>60000</f>
        <v>60000</v>
      </c>
      <c r="Q94" s="31"/>
      <c r="R94" s="31"/>
      <c r="S94" s="31"/>
      <c r="T94" s="32">
        <f>0</f>
        <v>0</v>
      </c>
      <c r="U94" s="32"/>
    </row>
    <row r="95" spans="1:21" s="1" customFormat="1" ht="13.5" customHeight="1">
      <c r="A95" s="29" t="s">
        <v>112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152</v>
      </c>
      <c r="L95" s="30"/>
      <c r="M95" s="31">
        <f>3150431</f>
        <v>3150431</v>
      </c>
      <c r="N95" s="31"/>
      <c r="O95" s="31"/>
      <c r="P95" s="33" t="s">
        <v>47</v>
      </c>
      <c r="Q95" s="33"/>
      <c r="R95" s="33"/>
      <c r="S95" s="33"/>
      <c r="T95" s="32">
        <f>3150431</f>
        <v>3150431</v>
      </c>
      <c r="U95" s="32"/>
    </row>
    <row r="96" spans="1:21" s="1" customFormat="1" ht="13.5" customHeight="1">
      <c r="A96" s="29" t="s">
        <v>112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153</v>
      </c>
      <c r="L96" s="30"/>
      <c r="M96" s="31">
        <f>163000</f>
        <v>163000</v>
      </c>
      <c r="N96" s="31"/>
      <c r="O96" s="31"/>
      <c r="P96" s="31">
        <f>162646.93</f>
        <v>162646.93</v>
      </c>
      <c r="Q96" s="31"/>
      <c r="R96" s="31"/>
      <c r="S96" s="31"/>
      <c r="T96" s="32">
        <f>353.07</f>
        <v>353.07</v>
      </c>
      <c r="U96" s="32"/>
    </row>
    <row r="97" spans="1:21" s="1" customFormat="1" ht="13.5" customHeight="1">
      <c r="A97" s="29" t="s">
        <v>112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154</v>
      </c>
      <c r="L97" s="30"/>
      <c r="M97" s="31">
        <f>0</f>
        <v>0</v>
      </c>
      <c r="N97" s="31"/>
      <c r="O97" s="31"/>
      <c r="P97" s="33" t="s">
        <v>47</v>
      </c>
      <c r="Q97" s="33"/>
      <c r="R97" s="33"/>
      <c r="S97" s="33"/>
      <c r="T97" s="32">
        <f>0</f>
        <v>0</v>
      </c>
      <c r="U97" s="32"/>
    </row>
    <row r="98" spans="1:21" s="1" customFormat="1" ht="13.5" customHeight="1">
      <c r="A98" s="29" t="s">
        <v>120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155</v>
      </c>
      <c r="L98" s="30"/>
      <c r="M98" s="31">
        <f>428169</f>
        <v>428169</v>
      </c>
      <c r="N98" s="31"/>
      <c r="O98" s="31"/>
      <c r="P98" s="31">
        <f>428153.42</f>
        <v>428153.42</v>
      </c>
      <c r="Q98" s="31"/>
      <c r="R98" s="31"/>
      <c r="S98" s="31"/>
      <c r="T98" s="32">
        <f>15.58</f>
        <v>15.58</v>
      </c>
      <c r="U98" s="32"/>
    </row>
    <row r="99" spans="1:21" s="1" customFormat="1" ht="13.5" customHeight="1">
      <c r="A99" s="29" t="s">
        <v>106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156</v>
      </c>
      <c r="L99" s="30"/>
      <c r="M99" s="31">
        <f>880000</f>
        <v>880000</v>
      </c>
      <c r="N99" s="31"/>
      <c r="O99" s="31"/>
      <c r="P99" s="31">
        <f>544925.55</f>
        <v>544925.55</v>
      </c>
      <c r="Q99" s="31"/>
      <c r="R99" s="31"/>
      <c r="S99" s="31"/>
      <c r="T99" s="32">
        <f>335074.45</f>
        <v>335074.45</v>
      </c>
      <c r="U99" s="32"/>
    </row>
    <row r="100" spans="1:21" s="1" customFormat="1" ht="13.5" customHeight="1">
      <c r="A100" s="29" t="s">
        <v>112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157</v>
      </c>
      <c r="L100" s="30"/>
      <c r="M100" s="31">
        <f>242200</f>
        <v>242200</v>
      </c>
      <c r="N100" s="31"/>
      <c r="O100" s="31"/>
      <c r="P100" s="31">
        <f>176870.86</f>
        <v>176870.86</v>
      </c>
      <c r="Q100" s="31"/>
      <c r="R100" s="31"/>
      <c r="S100" s="31"/>
      <c r="T100" s="32">
        <f>65329.14</f>
        <v>65329.14</v>
      </c>
      <c r="U100" s="32"/>
    </row>
    <row r="101" spans="1:21" s="1" customFormat="1" ht="13.5" customHeight="1">
      <c r="A101" s="29" t="s">
        <v>94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158</v>
      </c>
      <c r="L101" s="30"/>
      <c r="M101" s="31">
        <f>797045.63</f>
        <v>797045.63</v>
      </c>
      <c r="N101" s="31"/>
      <c r="O101" s="31"/>
      <c r="P101" s="31">
        <f>196899</f>
        <v>196899</v>
      </c>
      <c r="Q101" s="31"/>
      <c r="R101" s="31"/>
      <c r="S101" s="31"/>
      <c r="T101" s="32">
        <f>600146.63</f>
        <v>600146.63</v>
      </c>
      <c r="U101" s="32"/>
    </row>
    <row r="102" spans="1:21" s="1" customFormat="1" ht="13.5" customHeight="1">
      <c r="A102" s="29" t="s">
        <v>120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159</v>
      </c>
      <c r="L102" s="30"/>
      <c r="M102" s="31">
        <f>66500</f>
        <v>66500</v>
      </c>
      <c r="N102" s="31"/>
      <c r="O102" s="31"/>
      <c r="P102" s="31">
        <f>66480</f>
        <v>66480</v>
      </c>
      <c r="Q102" s="31"/>
      <c r="R102" s="31"/>
      <c r="S102" s="31"/>
      <c r="T102" s="32">
        <f>20</f>
        <v>20</v>
      </c>
      <c r="U102" s="32"/>
    </row>
    <row r="103" spans="1:21" s="1" customFormat="1" ht="13.5" customHeight="1">
      <c r="A103" s="29" t="s">
        <v>114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160</v>
      </c>
      <c r="L103" s="30"/>
      <c r="M103" s="31">
        <f>180000</f>
        <v>180000</v>
      </c>
      <c r="N103" s="31"/>
      <c r="O103" s="31"/>
      <c r="P103" s="31">
        <f>179337.81</f>
        <v>179337.81</v>
      </c>
      <c r="Q103" s="31"/>
      <c r="R103" s="31"/>
      <c r="S103" s="31"/>
      <c r="T103" s="32">
        <f>662.19</f>
        <v>662.19</v>
      </c>
      <c r="U103" s="32"/>
    </row>
    <row r="104" spans="1:21" s="1" customFormat="1" ht="13.5" customHeight="1">
      <c r="A104" s="29" t="s">
        <v>96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161</v>
      </c>
      <c r="L104" s="30"/>
      <c r="M104" s="31">
        <f>19865</f>
        <v>19865</v>
      </c>
      <c r="N104" s="31"/>
      <c r="O104" s="31"/>
      <c r="P104" s="31">
        <f>6133.64</f>
        <v>6133.64</v>
      </c>
      <c r="Q104" s="31"/>
      <c r="R104" s="31"/>
      <c r="S104" s="31"/>
      <c r="T104" s="32">
        <f>13731.36</f>
        <v>13731.36</v>
      </c>
      <c r="U104" s="32"/>
    </row>
    <row r="105" spans="1:21" s="1" customFormat="1" ht="13.5" customHeight="1">
      <c r="A105" s="29" t="s">
        <v>94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162</v>
      </c>
      <c r="L105" s="30"/>
      <c r="M105" s="31">
        <f>3200</f>
        <v>3200</v>
      </c>
      <c r="N105" s="31"/>
      <c r="O105" s="31"/>
      <c r="P105" s="31">
        <f>3200</f>
        <v>3200</v>
      </c>
      <c r="Q105" s="31"/>
      <c r="R105" s="31"/>
      <c r="S105" s="31"/>
      <c r="T105" s="32">
        <f>0</f>
        <v>0</v>
      </c>
      <c r="U105" s="32"/>
    </row>
    <row r="106" spans="1:21" s="1" customFormat="1" ht="13.5" customHeight="1">
      <c r="A106" s="29" t="s">
        <v>114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163</v>
      </c>
      <c r="L106" s="30"/>
      <c r="M106" s="31">
        <f>6800</f>
        <v>6800</v>
      </c>
      <c r="N106" s="31"/>
      <c r="O106" s="31"/>
      <c r="P106" s="31">
        <f>6800</f>
        <v>6800</v>
      </c>
      <c r="Q106" s="31"/>
      <c r="R106" s="31"/>
      <c r="S106" s="31"/>
      <c r="T106" s="32">
        <f>0</f>
        <v>0</v>
      </c>
      <c r="U106" s="32"/>
    </row>
    <row r="107" spans="1:21" s="1" customFormat="1" ht="13.5" customHeight="1">
      <c r="A107" s="29" t="s">
        <v>82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164</v>
      </c>
      <c r="L107" s="30"/>
      <c r="M107" s="31">
        <f>2695400</f>
        <v>2695400</v>
      </c>
      <c r="N107" s="31"/>
      <c r="O107" s="31"/>
      <c r="P107" s="31">
        <f>2275830.23</f>
        <v>2275830.23</v>
      </c>
      <c r="Q107" s="31"/>
      <c r="R107" s="31"/>
      <c r="S107" s="31"/>
      <c r="T107" s="32">
        <f>419569.77</f>
        <v>419569.77</v>
      </c>
      <c r="U107" s="32"/>
    </row>
    <row r="108" spans="1:21" s="1" customFormat="1" ht="13.5" customHeight="1">
      <c r="A108" s="29" t="s">
        <v>84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165</v>
      </c>
      <c r="L108" s="30"/>
      <c r="M108" s="31">
        <f>817000</f>
        <v>817000</v>
      </c>
      <c r="N108" s="31"/>
      <c r="O108" s="31"/>
      <c r="P108" s="31">
        <f>653711.74</f>
        <v>653711.74</v>
      </c>
      <c r="Q108" s="31"/>
      <c r="R108" s="31"/>
      <c r="S108" s="31"/>
      <c r="T108" s="32">
        <f>163288.26</f>
        <v>163288.26</v>
      </c>
      <c r="U108" s="32"/>
    </row>
    <row r="109" spans="1:21" s="1" customFormat="1" ht="13.5" customHeight="1">
      <c r="A109" s="29" t="s">
        <v>90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166</v>
      </c>
      <c r="L109" s="30"/>
      <c r="M109" s="31">
        <f>110500</f>
        <v>110500</v>
      </c>
      <c r="N109" s="31"/>
      <c r="O109" s="31"/>
      <c r="P109" s="31">
        <f>110428.79</f>
        <v>110428.79</v>
      </c>
      <c r="Q109" s="31"/>
      <c r="R109" s="31"/>
      <c r="S109" s="31"/>
      <c r="T109" s="32">
        <f>71.21</f>
        <v>71.21</v>
      </c>
      <c r="U109" s="32"/>
    </row>
    <row r="110" spans="1:21" s="1" customFormat="1" ht="13.5" customHeight="1">
      <c r="A110" s="29" t="s">
        <v>92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167</v>
      </c>
      <c r="L110" s="30"/>
      <c r="M110" s="31">
        <f>20500</f>
        <v>20500</v>
      </c>
      <c r="N110" s="31"/>
      <c r="O110" s="31"/>
      <c r="P110" s="31">
        <f>18428.9</f>
        <v>18428.9</v>
      </c>
      <c r="Q110" s="31"/>
      <c r="R110" s="31"/>
      <c r="S110" s="31"/>
      <c r="T110" s="32">
        <f>2071.1</f>
        <v>2071.1</v>
      </c>
      <c r="U110" s="32"/>
    </row>
    <row r="111" spans="1:21" s="1" customFormat="1" ht="13.5" customHeight="1">
      <c r="A111" s="29" t="s">
        <v>96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168</v>
      </c>
      <c r="L111" s="30"/>
      <c r="M111" s="31">
        <f>47500</f>
        <v>47500</v>
      </c>
      <c r="N111" s="31"/>
      <c r="O111" s="31"/>
      <c r="P111" s="31">
        <f>46507.1</f>
        <v>46507.1</v>
      </c>
      <c r="Q111" s="31"/>
      <c r="R111" s="31"/>
      <c r="S111" s="31"/>
      <c r="T111" s="32">
        <f>992.9</f>
        <v>992.9</v>
      </c>
      <c r="U111" s="32"/>
    </row>
    <row r="112" spans="1:21" s="1" customFormat="1" ht="13.5" customHeight="1">
      <c r="A112" s="29" t="s">
        <v>112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169</v>
      </c>
      <c r="L112" s="30"/>
      <c r="M112" s="31">
        <f>4435</f>
        <v>4435</v>
      </c>
      <c r="N112" s="31"/>
      <c r="O112" s="31"/>
      <c r="P112" s="31">
        <f>4400</f>
        <v>4400</v>
      </c>
      <c r="Q112" s="31"/>
      <c r="R112" s="31"/>
      <c r="S112" s="31"/>
      <c r="T112" s="32">
        <f>35</f>
        <v>35</v>
      </c>
      <c r="U112" s="32"/>
    </row>
    <row r="113" spans="1:21" s="1" customFormat="1" ht="13.5" customHeight="1">
      <c r="A113" s="29" t="s">
        <v>94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170</v>
      </c>
      <c r="L113" s="30"/>
      <c r="M113" s="31">
        <f>72000</f>
        <v>72000</v>
      </c>
      <c r="N113" s="31"/>
      <c r="O113" s="31"/>
      <c r="P113" s="31">
        <f>70204</f>
        <v>70204</v>
      </c>
      <c r="Q113" s="31"/>
      <c r="R113" s="31"/>
      <c r="S113" s="31"/>
      <c r="T113" s="32">
        <f>1796</f>
        <v>1796</v>
      </c>
      <c r="U113" s="32"/>
    </row>
    <row r="114" spans="1:21" s="1" customFormat="1" ht="13.5" customHeight="1">
      <c r="A114" s="29" t="s">
        <v>114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171</v>
      </c>
      <c r="L114" s="30"/>
      <c r="M114" s="31">
        <f>9000</f>
        <v>9000</v>
      </c>
      <c r="N114" s="31"/>
      <c r="O114" s="31"/>
      <c r="P114" s="31">
        <f>8731</f>
        <v>8731</v>
      </c>
      <c r="Q114" s="31"/>
      <c r="R114" s="31"/>
      <c r="S114" s="31"/>
      <c r="T114" s="32">
        <f>269</f>
        <v>269</v>
      </c>
      <c r="U114" s="32"/>
    </row>
    <row r="115" spans="1:21" s="1" customFormat="1" ht="13.5" customHeight="1">
      <c r="A115" s="29" t="s">
        <v>112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172</v>
      </c>
      <c r="L115" s="30"/>
      <c r="M115" s="31">
        <f>1085610</f>
        <v>1085610</v>
      </c>
      <c r="N115" s="31"/>
      <c r="O115" s="31"/>
      <c r="P115" s="31">
        <f>1085079.07</f>
        <v>1085079.07</v>
      </c>
      <c r="Q115" s="31"/>
      <c r="R115" s="31"/>
      <c r="S115" s="31"/>
      <c r="T115" s="32">
        <f>530.93</f>
        <v>530.93</v>
      </c>
      <c r="U115" s="32"/>
    </row>
    <row r="116" spans="1:21" s="1" customFormat="1" ht="13.5" customHeight="1">
      <c r="A116" s="29" t="s">
        <v>96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173</v>
      </c>
      <c r="L116" s="30"/>
      <c r="M116" s="31">
        <f>2000</f>
        <v>2000</v>
      </c>
      <c r="N116" s="31"/>
      <c r="O116" s="31"/>
      <c r="P116" s="31">
        <f>1036.85</f>
        <v>1036.85</v>
      </c>
      <c r="Q116" s="31"/>
      <c r="R116" s="31"/>
      <c r="S116" s="31"/>
      <c r="T116" s="32">
        <f>963.15</f>
        <v>963.15</v>
      </c>
      <c r="U116" s="32"/>
    </row>
    <row r="117" spans="1:21" s="1" customFormat="1" ht="13.5" customHeight="1">
      <c r="A117" s="29" t="s">
        <v>106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174</v>
      </c>
      <c r="L117" s="30"/>
      <c r="M117" s="31">
        <f>894200</f>
        <v>894200</v>
      </c>
      <c r="N117" s="31"/>
      <c r="O117" s="31"/>
      <c r="P117" s="31">
        <f>611418.27</f>
        <v>611418.27</v>
      </c>
      <c r="Q117" s="31"/>
      <c r="R117" s="31"/>
      <c r="S117" s="31"/>
      <c r="T117" s="32">
        <f>282781.73</f>
        <v>282781.73</v>
      </c>
      <c r="U117" s="32"/>
    </row>
    <row r="118" spans="1:21" s="1" customFormat="1" ht="13.5" customHeight="1">
      <c r="A118" s="29" t="s">
        <v>112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175</v>
      </c>
      <c r="L118" s="30"/>
      <c r="M118" s="31">
        <f>276900</f>
        <v>276900</v>
      </c>
      <c r="N118" s="31"/>
      <c r="O118" s="31"/>
      <c r="P118" s="31">
        <f>224642.37</f>
        <v>224642.37</v>
      </c>
      <c r="Q118" s="31"/>
      <c r="R118" s="31"/>
      <c r="S118" s="31"/>
      <c r="T118" s="32">
        <f>52257.63</f>
        <v>52257.63</v>
      </c>
      <c r="U118" s="32"/>
    </row>
    <row r="119" spans="1:21" s="1" customFormat="1" ht="13.5" customHeight="1">
      <c r="A119" s="29" t="s">
        <v>94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176</v>
      </c>
      <c r="L119" s="30"/>
      <c r="M119" s="31">
        <f>82000</f>
        <v>82000</v>
      </c>
      <c r="N119" s="31"/>
      <c r="O119" s="31"/>
      <c r="P119" s="31">
        <f>77879.76</f>
        <v>77879.76</v>
      </c>
      <c r="Q119" s="31"/>
      <c r="R119" s="31"/>
      <c r="S119" s="31"/>
      <c r="T119" s="32">
        <f>4120.24</f>
        <v>4120.24</v>
      </c>
      <c r="U119" s="32"/>
    </row>
    <row r="120" spans="1:21" s="1" customFormat="1" ht="13.5" customHeight="1">
      <c r="A120" s="29" t="s">
        <v>100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177</v>
      </c>
      <c r="L120" s="30"/>
      <c r="M120" s="31">
        <f>28600</f>
        <v>28600</v>
      </c>
      <c r="N120" s="31"/>
      <c r="O120" s="31"/>
      <c r="P120" s="31">
        <f>28556.55</f>
        <v>28556.55</v>
      </c>
      <c r="Q120" s="31"/>
      <c r="R120" s="31"/>
      <c r="S120" s="31"/>
      <c r="T120" s="32">
        <f>43.45</f>
        <v>43.45</v>
      </c>
      <c r="U120" s="32"/>
    </row>
    <row r="121" spans="1:21" s="1" customFormat="1" ht="13.5" customHeight="1">
      <c r="A121" s="29" t="s">
        <v>120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178</v>
      </c>
      <c r="L121" s="30"/>
      <c r="M121" s="31">
        <f>15000</f>
        <v>15000</v>
      </c>
      <c r="N121" s="31"/>
      <c r="O121" s="31"/>
      <c r="P121" s="31">
        <f>14530</f>
        <v>14530</v>
      </c>
      <c r="Q121" s="31"/>
      <c r="R121" s="31"/>
      <c r="S121" s="31"/>
      <c r="T121" s="32">
        <f>470</f>
        <v>470</v>
      </c>
      <c r="U121" s="32"/>
    </row>
    <row r="122" spans="1:21" s="1" customFormat="1" ht="13.5" customHeight="1">
      <c r="A122" s="29" t="s">
        <v>114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179</v>
      </c>
      <c r="L122" s="30"/>
      <c r="M122" s="31">
        <f>456790</f>
        <v>456790</v>
      </c>
      <c r="N122" s="31"/>
      <c r="O122" s="31"/>
      <c r="P122" s="31">
        <f>454530.93</f>
        <v>454530.93</v>
      </c>
      <c r="Q122" s="31"/>
      <c r="R122" s="31"/>
      <c r="S122" s="31"/>
      <c r="T122" s="32">
        <f>2259.07</f>
        <v>2259.07</v>
      </c>
      <c r="U122" s="32"/>
    </row>
    <row r="123" spans="1:21" s="1" customFormat="1" ht="13.5" customHeight="1">
      <c r="A123" s="29" t="s">
        <v>100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180</v>
      </c>
      <c r="L123" s="30"/>
      <c r="M123" s="31">
        <f>60000</f>
        <v>60000</v>
      </c>
      <c r="N123" s="31"/>
      <c r="O123" s="31"/>
      <c r="P123" s="31">
        <f>32390</f>
        <v>32390</v>
      </c>
      <c r="Q123" s="31"/>
      <c r="R123" s="31"/>
      <c r="S123" s="31"/>
      <c r="T123" s="32">
        <f>27610</f>
        <v>27610</v>
      </c>
      <c r="U123" s="32"/>
    </row>
    <row r="124" spans="1:21" s="1" customFormat="1" ht="13.5" customHeight="1">
      <c r="A124" s="29" t="s">
        <v>94</v>
      </c>
      <c r="B124" s="29"/>
      <c r="C124" s="29"/>
      <c r="D124" s="29"/>
      <c r="E124" s="29"/>
      <c r="F124" s="29"/>
      <c r="G124" s="29"/>
      <c r="H124" s="29"/>
      <c r="I124" s="30" t="s">
        <v>81</v>
      </c>
      <c r="J124" s="30"/>
      <c r="K124" s="30" t="s">
        <v>181</v>
      </c>
      <c r="L124" s="30"/>
      <c r="M124" s="31">
        <f>115000</f>
        <v>115000</v>
      </c>
      <c r="N124" s="31"/>
      <c r="O124" s="31"/>
      <c r="P124" s="31">
        <f>89583</f>
        <v>89583</v>
      </c>
      <c r="Q124" s="31"/>
      <c r="R124" s="31"/>
      <c r="S124" s="31"/>
      <c r="T124" s="32">
        <f>25417</f>
        <v>25417</v>
      </c>
      <c r="U124" s="32"/>
    </row>
    <row r="125" spans="1:21" s="1" customFormat="1" ht="13.5" customHeight="1">
      <c r="A125" s="29" t="s">
        <v>100</v>
      </c>
      <c r="B125" s="29"/>
      <c r="C125" s="29"/>
      <c r="D125" s="29"/>
      <c r="E125" s="29"/>
      <c r="F125" s="29"/>
      <c r="G125" s="29"/>
      <c r="H125" s="29"/>
      <c r="I125" s="30" t="s">
        <v>81</v>
      </c>
      <c r="J125" s="30"/>
      <c r="K125" s="30" t="s">
        <v>182</v>
      </c>
      <c r="L125" s="30"/>
      <c r="M125" s="31">
        <f>62200</f>
        <v>62200</v>
      </c>
      <c r="N125" s="31"/>
      <c r="O125" s="31"/>
      <c r="P125" s="31">
        <f>31500</f>
        <v>31500</v>
      </c>
      <c r="Q125" s="31"/>
      <c r="R125" s="31"/>
      <c r="S125" s="31"/>
      <c r="T125" s="32">
        <f>30700</f>
        <v>30700</v>
      </c>
      <c r="U125" s="32"/>
    </row>
    <row r="126" spans="1:21" s="1" customFormat="1" ht="13.5" customHeight="1">
      <c r="A126" s="29" t="s">
        <v>114</v>
      </c>
      <c r="B126" s="29"/>
      <c r="C126" s="29"/>
      <c r="D126" s="29"/>
      <c r="E126" s="29"/>
      <c r="F126" s="29"/>
      <c r="G126" s="29"/>
      <c r="H126" s="29"/>
      <c r="I126" s="30" t="s">
        <v>81</v>
      </c>
      <c r="J126" s="30"/>
      <c r="K126" s="30" t="s">
        <v>183</v>
      </c>
      <c r="L126" s="30"/>
      <c r="M126" s="31">
        <f>70500</f>
        <v>70500</v>
      </c>
      <c r="N126" s="31"/>
      <c r="O126" s="31"/>
      <c r="P126" s="31">
        <f>58339.8</f>
        <v>58339.8</v>
      </c>
      <c r="Q126" s="31"/>
      <c r="R126" s="31"/>
      <c r="S126" s="31"/>
      <c r="T126" s="32">
        <f>12160.2</f>
        <v>12160.2</v>
      </c>
      <c r="U126" s="32"/>
    </row>
    <row r="127" spans="1:21" s="1" customFormat="1" ht="13.5" customHeight="1">
      <c r="A127" s="29" t="s">
        <v>82</v>
      </c>
      <c r="B127" s="29"/>
      <c r="C127" s="29"/>
      <c r="D127" s="29"/>
      <c r="E127" s="29"/>
      <c r="F127" s="29"/>
      <c r="G127" s="29"/>
      <c r="H127" s="29"/>
      <c r="I127" s="30" t="s">
        <v>81</v>
      </c>
      <c r="J127" s="30"/>
      <c r="K127" s="30" t="s">
        <v>184</v>
      </c>
      <c r="L127" s="30"/>
      <c r="M127" s="31">
        <f>746600</f>
        <v>746600</v>
      </c>
      <c r="N127" s="31"/>
      <c r="O127" s="31"/>
      <c r="P127" s="31">
        <f>730613.42</f>
        <v>730613.42</v>
      </c>
      <c r="Q127" s="31"/>
      <c r="R127" s="31"/>
      <c r="S127" s="31"/>
      <c r="T127" s="32">
        <f>15986.58</f>
        <v>15986.58</v>
      </c>
      <c r="U127" s="32"/>
    </row>
    <row r="128" spans="1:21" s="1" customFormat="1" ht="13.5" customHeight="1">
      <c r="A128" s="29" t="s">
        <v>84</v>
      </c>
      <c r="B128" s="29"/>
      <c r="C128" s="29"/>
      <c r="D128" s="29"/>
      <c r="E128" s="29"/>
      <c r="F128" s="29"/>
      <c r="G128" s="29"/>
      <c r="H128" s="29"/>
      <c r="I128" s="30" t="s">
        <v>81</v>
      </c>
      <c r="J128" s="30"/>
      <c r="K128" s="30" t="s">
        <v>185</v>
      </c>
      <c r="L128" s="30"/>
      <c r="M128" s="31">
        <f>223000</f>
        <v>223000</v>
      </c>
      <c r="N128" s="31"/>
      <c r="O128" s="31"/>
      <c r="P128" s="31">
        <f>223000</f>
        <v>223000</v>
      </c>
      <c r="Q128" s="31"/>
      <c r="R128" s="31"/>
      <c r="S128" s="31"/>
      <c r="T128" s="32">
        <f>0</f>
        <v>0</v>
      </c>
      <c r="U128" s="32"/>
    </row>
    <row r="129" spans="1:21" s="1" customFormat="1" ht="13.5" customHeight="1">
      <c r="A129" s="29" t="s">
        <v>94</v>
      </c>
      <c r="B129" s="29"/>
      <c r="C129" s="29"/>
      <c r="D129" s="29"/>
      <c r="E129" s="29"/>
      <c r="F129" s="29"/>
      <c r="G129" s="29"/>
      <c r="H129" s="29"/>
      <c r="I129" s="30" t="s">
        <v>81</v>
      </c>
      <c r="J129" s="30"/>
      <c r="K129" s="30" t="s">
        <v>186</v>
      </c>
      <c r="L129" s="30"/>
      <c r="M129" s="31">
        <f>217500</f>
        <v>217500</v>
      </c>
      <c r="N129" s="31"/>
      <c r="O129" s="31"/>
      <c r="P129" s="31">
        <f>117092.34</f>
        <v>117092.34</v>
      </c>
      <c r="Q129" s="31"/>
      <c r="R129" s="31"/>
      <c r="S129" s="31"/>
      <c r="T129" s="32">
        <f>100407.66</f>
        <v>100407.66</v>
      </c>
      <c r="U129" s="32"/>
    </row>
    <row r="130" spans="1:21" s="1" customFormat="1" ht="13.5" customHeight="1">
      <c r="A130" s="29" t="s">
        <v>120</v>
      </c>
      <c r="B130" s="29"/>
      <c r="C130" s="29"/>
      <c r="D130" s="29"/>
      <c r="E130" s="29"/>
      <c r="F130" s="29"/>
      <c r="G130" s="29"/>
      <c r="H130" s="29"/>
      <c r="I130" s="30" t="s">
        <v>81</v>
      </c>
      <c r="J130" s="30"/>
      <c r="K130" s="30" t="s">
        <v>187</v>
      </c>
      <c r="L130" s="30"/>
      <c r="M130" s="31">
        <f>0</f>
        <v>0</v>
      </c>
      <c r="N130" s="31"/>
      <c r="O130" s="31"/>
      <c r="P130" s="33" t="s">
        <v>47</v>
      </c>
      <c r="Q130" s="33"/>
      <c r="R130" s="33"/>
      <c r="S130" s="33"/>
      <c r="T130" s="32">
        <f>0</f>
        <v>0</v>
      </c>
      <c r="U130" s="32"/>
    </row>
    <row r="131" spans="1:21" s="1" customFormat="1" ht="13.5" customHeight="1">
      <c r="A131" s="29" t="s">
        <v>114</v>
      </c>
      <c r="B131" s="29"/>
      <c r="C131" s="29"/>
      <c r="D131" s="29"/>
      <c r="E131" s="29"/>
      <c r="F131" s="29"/>
      <c r="G131" s="29"/>
      <c r="H131" s="29"/>
      <c r="I131" s="30" t="s">
        <v>81</v>
      </c>
      <c r="J131" s="30"/>
      <c r="K131" s="30" t="s">
        <v>188</v>
      </c>
      <c r="L131" s="30"/>
      <c r="M131" s="31">
        <f>15000</f>
        <v>15000</v>
      </c>
      <c r="N131" s="31"/>
      <c r="O131" s="31"/>
      <c r="P131" s="31">
        <f>15000</f>
        <v>15000</v>
      </c>
      <c r="Q131" s="31"/>
      <c r="R131" s="31"/>
      <c r="S131" s="31"/>
      <c r="T131" s="32">
        <f>0</f>
        <v>0</v>
      </c>
      <c r="U131" s="32"/>
    </row>
    <row r="132" spans="1:21" s="1" customFormat="1" ht="13.5" customHeight="1">
      <c r="A132" s="29" t="s">
        <v>82</v>
      </c>
      <c r="B132" s="29"/>
      <c r="C132" s="29"/>
      <c r="D132" s="29"/>
      <c r="E132" s="29"/>
      <c r="F132" s="29"/>
      <c r="G132" s="29"/>
      <c r="H132" s="29"/>
      <c r="I132" s="30" t="s">
        <v>81</v>
      </c>
      <c r="J132" s="30"/>
      <c r="K132" s="30" t="s">
        <v>189</v>
      </c>
      <c r="L132" s="30"/>
      <c r="M132" s="31">
        <f>1014000</f>
        <v>1014000</v>
      </c>
      <c r="N132" s="31"/>
      <c r="O132" s="31"/>
      <c r="P132" s="31">
        <f>893049.97</f>
        <v>893049.97</v>
      </c>
      <c r="Q132" s="31"/>
      <c r="R132" s="31"/>
      <c r="S132" s="31"/>
      <c r="T132" s="32">
        <f>120950.03</f>
        <v>120950.03</v>
      </c>
      <c r="U132" s="32"/>
    </row>
    <row r="133" spans="1:21" s="1" customFormat="1" ht="13.5" customHeight="1">
      <c r="A133" s="29" t="s">
        <v>84</v>
      </c>
      <c r="B133" s="29"/>
      <c r="C133" s="29"/>
      <c r="D133" s="29"/>
      <c r="E133" s="29"/>
      <c r="F133" s="29"/>
      <c r="G133" s="29"/>
      <c r="H133" s="29"/>
      <c r="I133" s="30" t="s">
        <v>81</v>
      </c>
      <c r="J133" s="30"/>
      <c r="K133" s="30" t="s">
        <v>190</v>
      </c>
      <c r="L133" s="30"/>
      <c r="M133" s="31">
        <f>303000</f>
        <v>303000</v>
      </c>
      <c r="N133" s="31"/>
      <c r="O133" s="31"/>
      <c r="P133" s="31">
        <f>232092.35</f>
        <v>232092.35</v>
      </c>
      <c r="Q133" s="31"/>
      <c r="R133" s="31"/>
      <c r="S133" s="31"/>
      <c r="T133" s="32">
        <f>70907.65</f>
        <v>70907.65</v>
      </c>
      <c r="U133" s="32"/>
    </row>
    <row r="134" spans="1:21" s="1" customFormat="1" ht="13.5" customHeight="1">
      <c r="A134" s="29" t="s">
        <v>90</v>
      </c>
      <c r="B134" s="29"/>
      <c r="C134" s="29"/>
      <c r="D134" s="29"/>
      <c r="E134" s="29"/>
      <c r="F134" s="29"/>
      <c r="G134" s="29"/>
      <c r="H134" s="29"/>
      <c r="I134" s="30" t="s">
        <v>81</v>
      </c>
      <c r="J134" s="30"/>
      <c r="K134" s="30" t="s">
        <v>191</v>
      </c>
      <c r="L134" s="30"/>
      <c r="M134" s="31">
        <f>41000</f>
        <v>41000</v>
      </c>
      <c r="N134" s="31"/>
      <c r="O134" s="31"/>
      <c r="P134" s="31">
        <f>40870.4</f>
        <v>40870.4</v>
      </c>
      <c r="Q134" s="31"/>
      <c r="R134" s="31"/>
      <c r="S134" s="31"/>
      <c r="T134" s="32">
        <f>129.6</f>
        <v>129.6</v>
      </c>
      <c r="U134" s="32"/>
    </row>
    <row r="135" spans="1:21" s="1" customFormat="1" ht="13.5" customHeight="1">
      <c r="A135" s="29" t="s">
        <v>92</v>
      </c>
      <c r="B135" s="29"/>
      <c r="C135" s="29"/>
      <c r="D135" s="29"/>
      <c r="E135" s="29"/>
      <c r="F135" s="29"/>
      <c r="G135" s="29"/>
      <c r="H135" s="29"/>
      <c r="I135" s="30" t="s">
        <v>81</v>
      </c>
      <c r="J135" s="30"/>
      <c r="K135" s="30" t="s">
        <v>192</v>
      </c>
      <c r="L135" s="30"/>
      <c r="M135" s="31">
        <f>3000</f>
        <v>3000</v>
      </c>
      <c r="N135" s="31"/>
      <c r="O135" s="31"/>
      <c r="P135" s="31">
        <f>2957.8</f>
        <v>2957.8</v>
      </c>
      <c r="Q135" s="31"/>
      <c r="R135" s="31"/>
      <c r="S135" s="31"/>
      <c r="T135" s="32">
        <f>42.2</f>
        <v>42.2</v>
      </c>
      <c r="U135" s="32"/>
    </row>
    <row r="136" spans="1:21" s="1" customFormat="1" ht="13.5" customHeight="1">
      <c r="A136" s="29" t="s">
        <v>94</v>
      </c>
      <c r="B136" s="29"/>
      <c r="C136" s="29"/>
      <c r="D136" s="29"/>
      <c r="E136" s="29"/>
      <c r="F136" s="29"/>
      <c r="G136" s="29"/>
      <c r="H136" s="29"/>
      <c r="I136" s="30" t="s">
        <v>81</v>
      </c>
      <c r="J136" s="30"/>
      <c r="K136" s="30" t="s">
        <v>193</v>
      </c>
      <c r="L136" s="30"/>
      <c r="M136" s="31">
        <f>0</f>
        <v>0</v>
      </c>
      <c r="N136" s="31"/>
      <c r="O136" s="31"/>
      <c r="P136" s="33" t="s">
        <v>47</v>
      </c>
      <c r="Q136" s="33"/>
      <c r="R136" s="33"/>
      <c r="S136" s="33"/>
      <c r="T136" s="32">
        <f>0</f>
        <v>0</v>
      </c>
      <c r="U136" s="32"/>
    </row>
    <row r="137" spans="1:21" s="1" customFormat="1" ht="13.5" customHeight="1">
      <c r="A137" s="29" t="s">
        <v>112</v>
      </c>
      <c r="B137" s="29"/>
      <c r="C137" s="29"/>
      <c r="D137" s="29"/>
      <c r="E137" s="29"/>
      <c r="F137" s="29"/>
      <c r="G137" s="29"/>
      <c r="H137" s="29"/>
      <c r="I137" s="30" t="s">
        <v>81</v>
      </c>
      <c r="J137" s="30"/>
      <c r="K137" s="30" t="s">
        <v>194</v>
      </c>
      <c r="L137" s="30"/>
      <c r="M137" s="31">
        <f>0</f>
        <v>0</v>
      </c>
      <c r="N137" s="31"/>
      <c r="O137" s="31"/>
      <c r="P137" s="33" t="s">
        <v>47</v>
      </c>
      <c r="Q137" s="33"/>
      <c r="R137" s="33"/>
      <c r="S137" s="33"/>
      <c r="T137" s="32">
        <f>0</f>
        <v>0</v>
      </c>
      <c r="U137" s="32"/>
    </row>
    <row r="138" spans="1:21" s="1" customFormat="1" ht="13.5" customHeight="1">
      <c r="A138" s="29" t="s">
        <v>94</v>
      </c>
      <c r="B138" s="29"/>
      <c r="C138" s="29"/>
      <c r="D138" s="29"/>
      <c r="E138" s="29"/>
      <c r="F138" s="29"/>
      <c r="G138" s="29"/>
      <c r="H138" s="29"/>
      <c r="I138" s="30" t="s">
        <v>81</v>
      </c>
      <c r="J138" s="30"/>
      <c r="K138" s="30" t="s">
        <v>195</v>
      </c>
      <c r="L138" s="30"/>
      <c r="M138" s="31">
        <f>0</f>
        <v>0</v>
      </c>
      <c r="N138" s="31"/>
      <c r="O138" s="31"/>
      <c r="P138" s="33" t="s">
        <v>47</v>
      </c>
      <c r="Q138" s="33"/>
      <c r="R138" s="33"/>
      <c r="S138" s="33"/>
      <c r="T138" s="32">
        <f>0</f>
        <v>0</v>
      </c>
      <c r="U138" s="32"/>
    </row>
    <row r="139" spans="1:21" s="1" customFormat="1" ht="13.5" customHeight="1">
      <c r="A139" s="29" t="s">
        <v>100</v>
      </c>
      <c r="B139" s="29"/>
      <c r="C139" s="29"/>
      <c r="D139" s="29"/>
      <c r="E139" s="29"/>
      <c r="F139" s="29"/>
      <c r="G139" s="29"/>
      <c r="H139" s="29"/>
      <c r="I139" s="30" t="s">
        <v>81</v>
      </c>
      <c r="J139" s="30"/>
      <c r="K139" s="30" t="s">
        <v>196</v>
      </c>
      <c r="L139" s="30"/>
      <c r="M139" s="31">
        <f>27200</f>
        <v>27200</v>
      </c>
      <c r="N139" s="31"/>
      <c r="O139" s="31"/>
      <c r="P139" s="31">
        <f>27128.76</f>
        <v>27128.76</v>
      </c>
      <c r="Q139" s="31"/>
      <c r="R139" s="31"/>
      <c r="S139" s="31"/>
      <c r="T139" s="32">
        <f>71.24</f>
        <v>71.24</v>
      </c>
      <c r="U139" s="32"/>
    </row>
    <row r="140" spans="1:21" s="1" customFormat="1" ht="13.5" customHeight="1">
      <c r="A140" s="29" t="s">
        <v>114</v>
      </c>
      <c r="B140" s="29"/>
      <c r="C140" s="29"/>
      <c r="D140" s="29"/>
      <c r="E140" s="29"/>
      <c r="F140" s="29"/>
      <c r="G140" s="29"/>
      <c r="H140" s="29"/>
      <c r="I140" s="30" t="s">
        <v>81</v>
      </c>
      <c r="J140" s="30"/>
      <c r="K140" s="30" t="s">
        <v>197</v>
      </c>
      <c r="L140" s="30"/>
      <c r="M140" s="31">
        <f>3000</f>
        <v>3000</v>
      </c>
      <c r="N140" s="31"/>
      <c r="O140" s="31"/>
      <c r="P140" s="31">
        <f>3000</f>
        <v>3000</v>
      </c>
      <c r="Q140" s="31"/>
      <c r="R140" s="31"/>
      <c r="S140" s="31"/>
      <c r="T140" s="32">
        <f>0</f>
        <v>0</v>
      </c>
      <c r="U140" s="32"/>
    </row>
    <row r="141" spans="1:21" s="1" customFormat="1" ht="13.5" customHeight="1">
      <c r="A141" s="29" t="s">
        <v>120</v>
      </c>
      <c r="B141" s="29"/>
      <c r="C141" s="29"/>
      <c r="D141" s="29"/>
      <c r="E141" s="29"/>
      <c r="F141" s="29"/>
      <c r="G141" s="29"/>
      <c r="H141" s="29"/>
      <c r="I141" s="30" t="s">
        <v>81</v>
      </c>
      <c r="J141" s="30"/>
      <c r="K141" s="30" t="s">
        <v>198</v>
      </c>
      <c r="L141" s="30"/>
      <c r="M141" s="31">
        <f>700000</f>
        <v>700000</v>
      </c>
      <c r="N141" s="31"/>
      <c r="O141" s="31"/>
      <c r="P141" s="33" t="s">
        <v>47</v>
      </c>
      <c r="Q141" s="33"/>
      <c r="R141" s="33"/>
      <c r="S141" s="33"/>
      <c r="T141" s="32">
        <f>700000</f>
        <v>700000</v>
      </c>
      <c r="U141" s="32"/>
    </row>
    <row r="142" spans="1:21" s="1" customFormat="1" ht="15" customHeight="1">
      <c r="A142" s="34" t="s">
        <v>199</v>
      </c>
      <c r="B142" s="34"/>
      <c r="C142" s="34"/>
      <c r="D142" s="34"/>
      <c r="E142" s="34"/>
      <c r="F142" s="34"/>
      <c r="G142" s="34"/>
      <c r="H142" s="34"/>
      <c r="I142" s="35" t="s">
        <v>200</v>
      </c>
      <c r="J142" s="35"/>
      <c r="K142" s="35" t="s">
        <v>38</v>
      </c>
      <c r="L142" s="35"/>
      <c r="M142" s="36">
        <f>-2619202.1</f>
        <v>-2619202.1</v>
      </c>
      <c r="N142" s="36"/>
      <c r="O142" s="36"/>
      <c r="P142" s="36">
        <f>1064028.94</f>
        <v>1064028.94</v>
      </c>
      <c r="Q142" s="36"/>
      <c r="R142" s="36"/>
      <c r="S142" s="36"/>
      <c r="T142" s="37" t="s">
        <v>38</v>
      </c>
      <c r="U142" s="37"/>
    </row>
    <row r="143" spans="1:21" s="1" customFormat="1" ht="13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3.5" customHeight="1">
      <c r="A144" s="12" t="s">
        <v>201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" customFormat="1" ht="45.75" customHeight="1">
      <c r="A145" s="13" t="s">
        <v>24</v>
      </c>
      <c r="B145" s="13"/>
      <c r="C145" s="13"/>
      <c r="D145" s="13"/>
      <c r="E145" s="13"/>
      <c r="F145" s="13"/>
      <c r="G145" s="13"/>
      <c r="H145" s="13"/>
      <c r="I145" s="13" t="s">
        <v>25</v>
      </c>
      <c r="J145" s="13"/>
      <c r="K145" s="13" t="s">
        <v>202</v>
      </c>
      <c r="L145" s="13"/>
      <c r="M145" s="14" t="s">
        <v>27</v>
      </c>
      <c r="N145" s="14"/>
      <c r="O145" s="14"/>
      <c r="P145" s="14" t="s">
        <v>28</v>
      </c>
      <c r="Q145" s="14"/>
      <c r="R145" s="14"/>
      <c r="S145" s="14"/>
      <c r="T145" s="15" t="s">
        <v>29</v>
      </c>
      <c r="U145" s="15"/>
    </row>
    <row r="146" spans="1:21" s="1" customFormat="1" ht="12.75" customHeight="1">
      <c r="A146" s="16" t="s">
        <v>30</v>
      </c>
      <c r="B146" s="16"/>
      <c r="C146" s="16"/>
      <c r="D146" s="16"/>
      <c r="E146" s="16"/>
      <c r="F146" s="16"/>
      <c r="G146" s="16"/>
      <c r="H146" s="16"/>
      <c r="I146" s="16" t="s">
        <v>31</v>
      </c>
      <c r="J146" s="16"/>
      <c r="K146" s="16" t="s">
        <v>32</v>
      </c>
      <c r="L146" s="16"/>
      <c r="M146" s="17" t="s">
        <v>33</v>
      </c>
      <c r="N146" s="17"/>
      <c r="O146" s="17"/>
      <c r="P146" s="17" t="s">
        <v>34</v>
      </c>
      <c r="Q146" s="17"/>
      <c r="R146" s="17"/>
      <c r="S146" s="17"/>
      <c r="T146" s="18" t="s">
        <v>35</v>
      </c>
      <c r="U146" s="18"/>
    </row>
    <row r="147" spans="1:21" s="1" customFormat="1" ht="13.5" customHeight="1">
      <c r="A147" s="19" t="s">
        <v>203</v>
      </c>
      <c r="B147" s="19"/>
      <c r="C147" s="19"/>
      <c r="D147" s="19"/>
      <c r="E147" s="19"/>
      <c r="F147" s="19"/>
      <c r="G147" s="19"/>
      <c r="H147" s="19"/>
      <c r="I147" s="20" t="s">
        <v>204</v>
      </c>
      <c r="J147" s="20"/>
      <c r="K147" s="20" t="s">
        <v>38</v>
      </c>
      <c r="L147" s="20"/>
      <c r="M147" s="38">
        <f>2619202.1</f>
        <v>2619202.1</v>
      </c>
      <c r="N147" s="38"/>
      <c r="O147" s="38"/>
      <c r="P147" s="21">
        <f>-1064028.94</f>
        <v>-1064028.94</v>
      </c>
      <c r="Q147" s="21"/>
      <c r="R147" s="21"/>
      <c r="S147" s="21"/>
      <c r="T147" s="39">
        <f>3683231.04</f>
        <v>3683231.04</v>
      </c>
      <c r="U147" s="39"/>
    </row>
    <row r="148" spans="1:21" s="1" customFormat="1" ht="13.5" customHeight="1">
      <c r="A148" s="40" t="s">
        <v>205</v>
      </c>
      <c r="B148" s="40"/>
      <c r="C148" s="40"/>
      <c r="D148" s="40"/>
      <c r="E148" s="40"/>
      <c r="F148" s="40"/>
      <c r="G148" s="40"/>
      <c r="H148" s="40"/>
      <c r="I148" s="41" t="s">
        <v>18</v>
      </c>
      <c r="J148" s="41"/>
      <c r="K148" s="41" t="s">
        <v>18</v>
      </c>
      <c r="L148" s="41"/>
      <c r="M148" s="42" t="s">
        <v>18</v>
      </c>
      <c r="N148" s="42"/>
      <c r="O148" s="42"/>
      <c r="P148" s="43" t="s">
        <v>18</v>
      </c>
      <c r="Q148" s="43"/>
      <c r="R148" s="43"/>
      <c r="S148" s="43"/>
      <c r="T148" s="44" t="s">
        <v>18</v>
      </c>
      <c r="U148" s="44"/>
    </row>
    <row r="149" spans="1:21" s="1" customFormat="1" ht="13.5" customHeight="1">
      <c r="A149" s="23" t="s">
        <v>206</v>
      </c>
      <c r="B149" s="23"/>
      <c r="C149" s="23"/>
      <c r="D149" s="23"/>
      <c r="E149" s="23"/>
      <c r="F149" s="23"/>
      <c r="G149" s="23"/>
      <c r="H149" s="23"/>
      <c r="I149" s="45" t="s">
        <v>207</v>
      </c>
      <c r="J149" s="45"/>
      <c r="K149" s="24" t="s">
        <v>38</v>
      </c>
      <c r="L149" s="24"/>
      <c r="M149" s="46" t="s">
        <v>47</v>
      </c>
      <c r="N149" s="46"/>
      <c r="O149" s="46"/>
      <c r="P149" s="27" t="s">
        <v>47</v>
      </c>
      <c r="Q149" s="27"/>
      <c r="R149" s="27"/>
      <c r="S149" s="27"/>
      <c r="T149" s="47" t="s">
        <v>47</v>
      </c>
      <c r="U149" s="47"/>
    </row>
    <row r="150" spans="1:21" s="1" customFormat="1" ht="13.5" customHeight="1">
      <c r="A150" s="29" t="s">
        <v>18</v>
      </c>
      <c r="B150" s="29"/>
      <c r="C150" s="29"/>
      <c r="D150" s="29"/>
      <c r="E150" s="29"/>
      <c r="F150" s="29"/>
      <c r="G150" s="29"/>
      <c r="H150" s="29"/>
      <c r="I150" s="30" t="s">
        <v>207</v>
      </c>
      <c r="J150" s="30"/>
      <c r="K150" s="30" t="s">
        <v>18</v>
      </c>
      <c r="L150" s="30"/>
      <c r="M150" s="48" t="s">
        <v>47</v>
      </c>
      <c r="N150" s="48"/>
      <c r="O150" s="48"/>
      <c r="P150" s="33" t="s">
        <v>47</v>
      </c>
      <c r="Q150" s="33"/>
      <c r="R150" s="33"/>
      <c r="S150" s="33"/>
      <c r="T150" s="49" t="s">
        <v>47</v>
      </c>
      <c r="U150" s="49"/>
    </row>
    <row r="151" spans="1:21" s="1" customFormat="1" ht="0.75" customHeight="1">
      <c r="A151" s="50" t="s">
        <v>18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1:21" s="1" customFormat="1" ht="13.5" customHeight="1">
      <c r="A152" s="29" t="s">
        <v>208</v>
      </c>
      <c r="B152" s="29"/>
      <c r="C152" s="29"/>
      <c r="D152" s="29"/>
      <c r="E152" s="29"/>
      <c r="F152" s="29"/>
      <c r="G152" s="29"/>
      <c r="H152" s="29"/>
      <c r="I152" s="41" t="s">
        <v>209</v>
      </c>
      <c r="J152" s="41"/>
      <c r="K152" s="41" t="s">
        <v>38</v>
      </c>
      <c r="L152" s="41"/>
      <c r="M152" s="42" t="s">
        <v>47</v>
      </c>
      <c r="N152" s="42"/>
      <c r="O152" s="42"/>
      <c r="P152" s="33" t="s">
        <v>47</v>
      </c>
      <c r="Q152" s="33"/>
      <c r="R152" s="33"/>
      <c r="S152" s="33"/>
      <c r="T152" s="44" t="s">
        <v>47</v>
      </c>
      <c r="U152" s="44"/>
    </row>
    <row r="153" spans="1:21" s="1" customFormat="1" ht="13.5" customHeight="1">
      <c r="A153" s="29" t="s">
        <v>18</v>
      </c>
      <c r="B153" s="29"/>
      <c r="C153" s="29"/>
      <c r="D153" s="29"/>
      <c r="E153" s="29"/>
      <c r="F153" s="29"/>
      <c r="G153" s="29"/>
      <c r="H153" s="29"/>
      <c r="I153" s="30" t="s">
        <v>209</v>
      </c>
      <c r="J153" s="30"/>
      <c r="K153" s="30" t="s">
        <v>18</v>
      </c>
      <c r="L153" s="30"/>
      <c r="M153" s="48" t="s">
        <v>47</v>
      </c>
      <c r="N153" s="48"/>
      <c r="O153" s="48"/>
      <c r="P153" s="33" t="s">
        <v>47</v>
      </c>
      <c r="Q153" s="33"/>
      <c r="R153" s="33"/>
      <c r="S153" s="33"/>
      <c r="T153" s="49" t="s">
        <v>47</v>
      </c>
      <c r="U153" s="49"/>
    </row>
    <row r="154" spans="1:21" s="1" customFormat="1" ht="13.5" customHeight="1">
      <c r="A154" s="29" t="s">
        <v>210</v>
      </c>
      <c r="B154" s="29"/>
      <c r="C154" s="29"/>
      <c r="D154" s="29"/>
      <c r="E154" s="29"/>
      <c r="F154" s="29"/>
      <c r="G154" s="29"/>
      <c r="H154" s="29"/>
      <c r="I154" s="30" t="s">
        <v>211</v>
      </c>
      <c r="J154" s="30"/>
      <c r="K154" s="30" t="s">
        <v>212</v>
      </c>
      <c r="L154" s="30"/>
      <c r="M154" s="51">
        <f>2619202.1</f>
        <v>2619202.1</v>
      </c>
      <c r="N154" s="51"/>
      <c r="O154" s="51"/>
      <c r="P154" s="31">
        <f>-1064028.94</f>
        <v>-1064028.94</v>
      </c>
      <c r="Q154" s="31"/>
      <c r="R154" s="31"/>
      <c r="S154" s="31"/>
      <c r="T154" s="52">
        <f>3683231.04</f>
        <v>3683231.04</v>
      </c>
      <c r="U154" s="52"/>
    </row>
    <row r="155" spans="1:21" s="1" customFormat="1" ht="13.5" customHeight="1">
      <c r="A155" s="29" t="s">
        <v>213</v>
      </c>
      <c r="B155" s="29"/>
      <c r="C155" s="29"/>
      <c r="D155" s="29"/>
      <c r="E155" s="29"/>
      <c r="F155" s="29"/>
      <c r="G155" s="29"/>
      <c r="H155" s="29"/>
      <c r="I155" s="30" t="s">
        <v>214</v>
      </c>
      <c r="J155" s="30"/>
      <c r="K155" s="30" t="s">
        <v>215</v>
      </c>
      <c r="L155" s="30"/>
      <c r="M155" s="51">
        <f>-34096087.44</f>
        <v>-34096087.44</v>
      </c>
      <c r="N155" s="51"/>
      <c r="O155" s="51"/>
      <c r="P155" s="31">
        <f>-28403910.76</f>
        <v>-28403910.76</v>
      </c>
      <c r="Q155" s="31"/>
      <c r="R155" s="31"/>
      <c r="S155" s="31"/>
      <c r="T155" s="53" t="s">
        <v>38</v>
      </c>
      <c r="U155" s="53"/>
    </row>
    <row r="156" spans="1:21" s="1" customFormat="1" ht="13.5" customHeight="1">
      <c r="A156" s="29" t="s">
        <v>216</v>
      </c>
      <c r="B156" s="29"/>
      <c r="C156" s="29"/>
      <c r="D156" s="29"/>
      <c r="E156" s="29"/>
      <c r="F156" s="29"/>
      <c r="G156" s="29"/>
      <c r="H156" s="29"/>
      <c r="I156" s="30" t="s">
        <v>217</v>
      </c>
      <c r="J156" s="30"/>
      <c r="K156" s="30" t="s">
        <v>218</v>
      </c>
      <c r="L156" s="30"/>
      <c r="M156" s="51">
        <f>36715289.54</f>
        <v>36715289.54</v>
      </c>
      <c r="N156" s="51"/>
      <c r="O156" s="51"/>
      <c r="P156" s="31">
        <f>27339881.82</f>
        <v>27339881.82</v>
      </c>
      <c r="Q156" s="31"/>
      <c r="R156" s="31"/>
      <c r="S156" s="31"/>
      <c r="T156" s="53" t="s">
        <v>38</v>
      </c>
      <c r="U156" s="53"/>
    </row>
    <row r="157" spans="1:21" s="1" customFormat="1" ht="13.5" customHeight="1">
      <c r="A157" s="55" t="s">
        <v>18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s="1" customFormat="1" ht="13.5" customHeight="1">
      <c r="A158" s="7" t="s">
        <v>219</v>
      </c>
      <c r="B158" s="7"/>
      <c r="C158" s="7"/>
      <c r="D158" s="7"/>
      <c r="E158" s="7"/>
      <c r="F158" s="54" t="s">
        <v>18</v>
      </c>
      <c r="G158" s="54"/>
      <c r="H158" s="54"/>
      <c r="I158" s="54"/>
      <c r="J158" s="54"/>
      <c r="K158" s="54" t="s">
        <v>220</v>
      </c>
      <c r="L158" s="54"/>
      <c r="M158" s="54"/>
      <c r="N158" s="54"/>
      <c r="O158" s="7" t="s">
        <v>18</v>
      </c>
      <c r="P158" s="7"/>
      <c r="Q158" s="7"/>
      <c r="R158" s="7"/>
      <c r="S158" s="7"/>
      <c r="T158" s="7"/>
      <c r="U158" s="7"/>
    </row>
    <row r="159" spans="1:21" s="1" customFormat="1" ht="13.5" customHeight="1">
      <c r="A159" s="7" t="s">
        <v>18</v>
      </c>
      <c r="B159" s="7"/>
      <c r="C159" s="7"/>
      <c r="D159" s="7"/>
      <c r="E159" s="7"/>
      <c r="F159" s="10" t="s">
        <v>18</v>
      </c>
      <c r="G159" s="56" t="s">
        <v>221</v>
      </c>
      <c r="H159" s="56"/>
      <c r="I159" s="56"/>
      <c r="J159" s="10" t="s">
        <v>18</v>
      </c>
      <c r="K159" s="10" t="s">
        <v>18</v>
      </c>
      <c r="L159" s="56" t="s">
        <v>222</v>
      </c>
      <c r="M159" s="56"/>
      <c r="N159" s="7" t="s">
        <v>18</v>
      </c>
      <c r="O159" s="7"/>
      <c r="P159" s="7"/>
      <c r="Q159" s="7"/>
      <c r="R159" s="7"/>
      <c r="S159" s="7"/>
      <c r="T159" s="7"/>
      <c r="U159" s="7"/>
    </row>
    <row r="160" spans="1:21" s="1" customFormat="1" ht="7.5" customHeight="1">
      <c r="A160" s="7" t="s">
        <v>18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s="1" customFormat="1" ht="13.5" customHeight="1">
      <c r="A161" s="7" t="s">
        <v>223</v>
      </c>
      <c r="B161" s="7"/>
      <c r="C161" s="7"/>
      <c r="D161" s="7"/>
      <c r="E161" s="7"/>
      <c r="F161" s="54" t="s">
        <v>18</v>
      </c>
      <c r="G161" s="54"/>
      <c r="H161" s="54"/>
      <c r="I161" s="54"/>
      <c r="J161" s="54"/>
      <c r="K161" s="54" t="s">
        <v>224</v>
      </c>
      <c r="L161" s="54"/>
      <c r="M161" s="54"/>
      <c r="N161" s="54"/>
      <c r="O161" s="7" t="s">
        <v>18</v>
      </c>
      <c r="P161" s="7"/>
      <c r="Q161" s="7"/>
      <c r="R161" s="7"/>
      <c r="S161" s="7"/>
      <c r="T161" s="7"/>
      <c r="U161" s="7"/>
    </row>
    <row r="162" spans="1:21" s="1" customFormat="1" ht="13.5" customHeight="1">
      <c r="A162" s="7" t="s">
        <v>18</v>
      </c>
      <c r="B162" s="7"/>
      <c r="C162" s="7"/>
      <c r="D162" s="7"/>
      <c r="E162" s="7"/>
      <c r="F162" s="10" t="s">
        <v>18</v>
      </c>
      <c r="G162" s="56" t="s">
        <v>221</v>
      </c>
      <c r="H162" s="56"/>
      <c r="I162" s="56"/>
      <c r="J162" s="10" t="s">
        <v>18</v>
      </c>
      <c r="K162" s="10" t="s">
        <v>18</v>
      </c>
      <c r="L162" s="56" t="s">
        <v>222</v>
      </c>
      <c r="M162" s="56"/>
      <c r="N162" s="7" t="s">
        <v>18</v>
      </c>
      <c r="O162" s="7"/>
      <c r="P162" s="7"/>
      <c r="Q162" s="7"/>
      <c r="R162" s="7"/>
      <c r="S162" s="7"/>
      <c r="T162" s="7"/>
      <c r="U162" s="7"/>
    </row>
    <row r="163" spans="1:21" s="1" customFormat="1" ht="15.75" customHeight="1">
      <c r="A163" s="7" t="s">
        <v>18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s="1" customFormat="1" ht="13.5" customHeight="1">
      <c r="A164" s="58" t="s">
        <v>225</v>
      </c>
      <c r="B164" s="57"/>
      <c r="C164" s="57"/>
      <c r="D164" s="57"/>
      <c r="E164" s="57"/>
      <c r="F164" s="57"/>
      <c r="G164" s="57"/>
      <c r="H164" s="7" t="s">
        <v>18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</sheetData>
  <mergeCells count="894">
    <mergeCell ref="A163:U163"/>
    <mergeCell ref="A164:G164"/>
    <mergeCell ref="H164:U164"/>
    <mergeCell ref="A162:E162"/>
    <mergeCell ref="G162:I162"/>
    <mergeCell ref="L162:M162"/>
    <mergeCell ref="N162:U162"/>
    <mergeCell ref="A160:U160"/>
    <mergeCell ref="A161:E161"/>
    <mergeCell ref="F161:J161"/>
    <mergeCell ref="K161:N161"/>
    <mergeCell ref="O161:U161"/>
    <mergeCell ref="A159:E159"/>
    <mergeCell ref="G159:I159"/>
    <mergeCell ref="L159:M159"/>
    <mergeCell ref="N159:U159"/>
    <mergeCell ref="A157:U157"/>
    <mergeCell ref="A158:E158"/>
    <mergeCell ref="F158:J158"/>
    <mergeCell ref="K158:N158"/>
    <mergeCell ref="O158:U158"/>
    <mergeCell ref="P155:S155"/>
    <mergeCell ref="T155:U155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3:S153"/>
    <mergeCell ref="T153:U153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0:S150"/>
    <mergeCell ref="T150:U150"/>
    <mergeCell ref="A151:U151"/>
    <mergeCell ref="A152:H152"/>
    <mergeCell ref="I152:J152"/>
    <mergeCell ref="K152:L152"/>
    <mergeCell ref="M152:O152"/>
    <mergeCell ref="P152:S152"/>
    <mergeCell ref="T152:U152"/>
    <mergeCell ref="A150:H150"/>
    <mergeCell ref="I150:J150"/>
    <mergeCell ref="K150:L150"/>
    <mergeCell ref="M150:O150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6:S146"/>
    <mergeCell ref="T146:U146"/>
    <mergeCell ref="A147:H147"/>
    <mergeCell ref="I147:J147"/>
    <mergeCell ref="K147:L147"/>
    <mergeCell ref="M147:O147"/>
    <mergeCell ref="P147:S147"/>
    <mergeCell ref="T147:U147"/>
    <mergeCell ref="A146:H146"/>
    <mergeCell ref="I146:J146"/>
    <mergeCell ref="K146:L146"/>
    <mergeCell ref="M146:O146"/>
    <mergeCell ref="A143:U143"/>
    <mergeCell ref="A144:U144"/>
    <mergeCell ref="A145:H145"/>
    <mergeCell ref="I145:J145"/>
    <mergeCell ref="K145:L145"/>
    <mergeCell ref="M145:O145"/>
    <mergeCell ref="P145:S145"/>
    <mergeCell ref="T145:U145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4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2016-02-16T09:28:39Z</dcterms:modified>
  <cp:category/>
  <cp:version/>
  <cp:contentType/>
  <cp:contentStatus/>
</cp:coreProperties>
</file>